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F\حسابداری صندوق\6-لاجورد\عملیات حسابداری\گزارش پرتفوی\1405\07\"/>
    </mc:Choice>
  </mc:AlternateContent>
  <xr:revisionPtr revIDLastSave="0" documentId="13_ncr:1_{5DE44D51-360B-4157-B8FC-4CE91AE3F091}" xr6:coauthVersionLast="47" xr6:coauthVersionMax="47" xr10:uidLastSave="{00000000-0000-0000-0000-000000000000}"/>
  <bookViews>
    <workbookView xWindow="-120" yWindow="-120" windowWidth="29040" windowHeight="15840" tabRatio="942" firstSheet="8" activeTab="18" xr2:uid="{00000000-000D-0000-FFFF-FFFF00000000}"/>
  </bookViews>
  <sheets>
    <sheet name="کاور" sheetId="22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مبالغ تخصیصی اوراق" sheetId="12" r:id="rId12"/>
    <sheet name="درآمد سود سهام" sheetId="15" r:id="rId13"/>
    <sheet name="درآمد سود صندوق" sheetId="16" r:id="rId14"/>
    <sheet name="سود اوراق بهادار" sheetId="17" r:id="rId15"/>
    <sheet name="سود سپرده بانکی" sheetId="18" r:id="rId16"/>
    <sheet name="درآمد ناشی از تغییر قیمت اوراق" sheetId="21" r:id="rId17"/>
    <sheet name="درآمد ناشی از فروش" sheetId="19" r:id="rId18"/>
    <sheet name="درآمد اعمال اختیار" sheetId="23" r:id="rId19"/>
  </sheets>
  <definedNames>
    <definedName name="_xlnm._FilterDatabase" localSheetId="18" hidden="1">'درآمد اعمال اختیار'!$A$8:$V$8</definedName>
    <definedName name="_xlnm._FilterDatabase" localSheetId="9" hidden="1">'درآمد سپرده بانکی'!$A$8:$I$12</definedName>
    <definedName name="_xlnm._FilterDatabase" localSheetId="4" hidden="1">سپرده!$A$8:$K$13</definedName>
    <definedName name="_xlnm._FilterDatabase" localSheetId="15" hidden="1">'سود سپرده بانکی'!$A$7:$M$12</definedName>
    <definedName name="_xlnm._FilterDatabase" localSheetId="11" hidden="1">'مبالغ تخصیصی اوراق'!$A$7:$Q$8</definedName>
    <definedName name="_xlnm.Print_Area" localSheetId="3">اوراق!$A$1:$AL$12</definedName>
    <definedName name="_xlnm.Print_Area" localSheetId="5">درآمد!$A$1:$J$14</definedName>
    <definedName name="_xlnm.Print_Area" localSheetId="18">'درآمد اعمال اختیار'!$A$1:$R$18</definedName>
    <definedName name="_xlnm.Print_Area" localSheetId="9">'درآمد سپرده بانکی'!$A$1:$J$14</definedName>
    <definedName name="_xlnm.Print_Area" localSheetId="8">'درآمد سرمایه گذاری در اوراق به'!$A$1:$V$13</definedName>
    <definedName name="_xlnm.Print_Area" localSheetId="6">'درآمد سرمایه گذاری در سهام'!$A$1:$V$37</definedName>
    <definedName name="_xlnm.Print_Area" localSheetId="7">'درآمد سرمایه گذاری در صندوق'!$A$1:$V$28</definedName>
    <definedName name="_xlnm.Print_Area" localSheetId="12">'درآمد سود سهام'!$A$1:$N$17</definedName>
    <definedName name="_xlnm.Print_Area" localSheetId="13">'درآمد سود صندوق'!$A$1:$L$11</definedName>
    <definedName name="_xlnm.Print_Area" localSheetId="16">'درآمد ناشی از تغییر قیمت اوراق'!$A$1:$R$47</definedName>
    <definedName name="_xlnm.Print_Area" localSheetId="17">'درآمد ناشی از فروش'!$A$1:$Q$55</definedName>
    <definedName name="_xlnm.Print_Area" localSheetId="10">'سایر درآمدها'!$A$1:$F$11</definedName>
    <definedName name="_xlnm.Print_Area" localSheetId="4">سپرده!$A$1:$L$14</definedName>
    <definedName name="_xlnm.Print_Area" localSheetId="14">'سود اوراق بهادار'!$A$1:$N$12</definedName>
    <definedName name="_xlnm.Print_Area" localSheetId="15">'سود سپرده بانکی'!$A$1:$N$13</definedName>
    <definedName name="_xlnm.Print_Area" localSheetId="1">سهام!$A$1:$Z$27</definedName>
    <definedName name="_xlnm.Print_Area" localSheetId="0">کاور!$A$1:$I$22</definedName>
    <definedName name="_xlnm.Print_Area" localSheetId="11">'مبالغ تخصیصی اوراق'!$A$1:$R$18</definedName>
    <definedName name="_xlnm.Print_Area" localSheetId="2">'واحدهای صندوق'!$A$1:$Z$21</definedName>
  </definedNames>
  <calcPr calcId="191029"/>
</workbook>
</file>

<file path=xl/calcChain.xml><?xml version="1.0" encoding="utf-8"?>
<calcChain xmlns="http://schemas.openxmlformats.org/spreadsheetml/2006/main">
  <c r="K9" i="7" l="1"/>
  <c r="Y11" i="4"/>
  <c r="Y12" i="4"/>
  <c r="Y13" i="4"/>
  <c r="Y14" i="4"/>
  <c r="Y15" i="4"/>
  <c r="Y16" i="4"/>
  <c r="Y17" i="4"/>
  <c r="Y18" i="4"/>
  <c r="Y19" i="4"/>
  <c r="Y10" i="4"/>
  <c r="Y15" i="2"/>
  <c r="Y19" i="2"/>
  <c r="G13" i="7"/>
  <c r="M22" i="10"/>
  <c r="Y11" i="2"/>
  <c r="M20" i="10"/>
  <c r="M23" i="10"/>
  <c r="M25" i="10"/>
  <c r="M26" i="10"/>
  <c r="I45" i="21"/>
  <c r="G46" i="21"/>
  <c r="I30" i="21"/>
  <c r="I31" i="21"/>
  <c r="I32" i="21"/>
  <c r="I33" i="21"/>
  <c r="I39" i="21" s="1"/>
  <c r="I34" i="21"/>
  <c r="I35" i="21"/>
  <c r="I36" i="21"/>
  <c r="I37" i="21"/>
  <c r="I38" i="21"/>
  <c r="I29" i="21"/>
  <c r="Q39" i="21"/>
  <c r="O39" i="21"/>
  <c r="M39" i="21"/>
  <c r="G39" i="21"/>
  <c r="E3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9" i="21"/>
  <c r="Q45" i="21"/>
  <c r="Q30" i="21"/>
  <c r="Q31" i="21"/>
  <c r="Q32" i="21"/>
  <c r="Q33" i="21"/>
  <c r="Q34" i="21"/>
  <c r="Q35" i="21"/>
  <c r="Q36" i="21"/>
  <c r="Q2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9" i="21"/>
  <c r="I53" i="19"/>
  <c r="Q53" i="19"/>
  <c r="Q52" i="19"/>
  <c r="I34" i="19"/>
  <c r="I35" i="19"/>
  <c r="I36" i="19"/>
  <c r="I33" i="19"/>
  <c r="Q34" i="19"/>
  <c r="Q35" i="19"/>
  <c r="Q36" i="19"/>
  <c r="Q46" i="19" s="1"/>
  <c r="Q37" i="19"/>
  <c r="Q38" i="19"/>
  <c r="Q39" i="19"/>
  <c r="Q40" i="19"/>
  <c r="Q41" i="19"/>
  <c r="Q42" i="19"/>
  <c r="Q43" i="19"/>
  <c r="Q44" i="19"/>
  <c r="Q45" i="19"/>
  <c r="Q33" i="19"/>
  <c r="M27" i="19"/>
  <c r="O27" i="19"/>
  <c r="Q27" i="19"/>
  <c r="Q25" i="19"/>
  <c r="Q26" i="19"/>
  <c r="I27" i="19"/>
  <c r="I10" i="19"/>
  <c r="I11" i="19"/>
  <c r="I12" i="19"/>
  <c r="I13" i="19"/>
  <c r="I14" i="19"/>
  <c r="I15" i="19"/>
  <c r="I16" i="19"/>
  <c r="I17" i="19"/>
  <c r="I18" i="19"/>
  <c r="I19" i="19"/>
  <c r="I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9" i="19"/>
  <c r="E46" i="19"/>
  <c r="G46" i="19"/>
  <c r="I46" i="19"/>
  <c r="M46" i="19"/>
  <c r="O46" i="19"/>
  <c r="E27" i="19"/>
  <c r="G27" i="19"/>
  <c r="M11" i="17"/>
  <c r="M10" i="17"/>
  <c r="M9" i="17"/>
  <c r="G10" i="17"/>
  <c r="G9" i="17"/>
  <c r="M16" i="15"/>
  <c r="M10" i="15"/>
  <c r="M11" i="15"/>
  <c r="M12" i="15"/>
  <c r="M13" i="15"/>
  <c r="M14" i="15"/>
  <c r="M15" i="15"/>
  <c r="M9" i="15"/>
  <c r="K13" i="7"/>
  <c r="K10" i="7"/>
  <c r="K11" i="7"/>
  <c r="K12" i="7"/>
  <c r="I9" i="7"/>
  <c r="AK10" i="5"/>
  <c r="AC10" i="5"/>
  <c r="Q18" i="2"/>
  <c r="Q12" i="2"/>
  <c r="Q13" i="2"/>
  <c r="Q14" i="2"/>
  <c r="Q15" i="2"/>
  <c r="Q16" i="2"/>
  <c r="Q17" i="2"/>
  <c r="Q19" i="2"/>
  <c r="Q20" i="2"/>
  <c r="Q21" i="2"/>
  <c r="Q22" i="2"/>
  <c r="Q23" i="2"/>
  <c r="Q24" i="2"/>
  <c r="Q11" i="2"/>
  <c r="Y13" i="2"/>
  <c r="Y12" i="2" l="1"/>
  <c r="Y14" i="2"/>
  <c r="Y16" i="2"/>
  <c r="Y17" i="2"/>
  <c r="Y18" i="2"/>
  <c r="Y20" i="2"/>
  <c r="Y21" i="2"/>
  <c r="Y22" i="2"/>
  <c r="Y23" i="2"/>
  <c r="Y24" i="2"/>
  <c r="Y25" i="2"/>
  <c r="Q54" i="19" l="1"/>
  <c r="Q23" i="21"/>
  <c r="I16" i="15"/>
  <c r="I10" i="12"/>
  <c r="I11" i="12"/>
  <c r="I12" i="12"/>
  <c r="I13" i="12"/>
  <c r="I14" i="12"/>
  <c r="I15" i="12"/>
  <c r="I16" i="12"/>
  <c r="I17" i="12"/>
  <c r="I9" i="12"/>
  <c r="I12" i="7" l="1"/>
  <c r="Q60" i="19"/>
  <c r="W28" i="2" l="1"/>
  <c r="AI14" i="5"/>
  <c r="W23" i="4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11" i="2"/>
  <c r="C10" i="14" l="1"/>
  <c r="E10" i="14"/>
  <c r="E12" i="8" s="1"/>
  <c r="E13" i="7"/>
  <c r="W11" i="5"/>
  <c r="U11" i="5"/>
  <c r="G23" i="21" l="1"/>
  <c r="E23" i="21"/>
  <c r="M23" i="21"/>
  <c r="O23" i="21"/>
  <c r="C16" i="15"/>
  <c r="E16" i="15"/>
  <c r="G9" i="18"/>
  <c r="M9" i="18"/>
  <c r="M25" i="2"/>
  <c r="G16" i="7" l="1"/>
  <c r="U14" i="5"/>
  <c r="W14" i="5"/>
  <c r="AC13" i="5"/>
  <c r="O11" i="5"/>
  <c r="Q11" i="5"/>
  <c r="S11" i="5"/>
  <c r="Y11" i="5"/>
  <c r="Y14" i="5" s="1"/>
  <c r="AA11" i="5"/>
  <c r="AA14" i="5" s="1"/>
  <c r="W20" i="4"/>
  <c r="E20" i="4"/>
  <c r="G20" i="4"/>
  <c r="I23" i="4"/>
  <c r="K20" i="4"/>
  <c r="K23" i="4" s="1"/>
  <c r="M23" i="4"/>
  <c r="O20" i="4"/>
  <c r="O23" i="4" s="1"/>
  <c r="U20" i="4"/>
  <c r="M28" i="2"/>
  <c r="M9" i="7"/>
  <c r="G23" i="4" l="1"/>
  <c r="S14" i="5"/>
  <c r="E23" i="4"/>
  <c r="U23" i="4"/>
  <c r="W24" i="4"/>
  <c r="Q14" i="5"/>
  <c r="Q22" i="4"/>
  <c r="Q23" i="4" s="1"/>
  <c r="K17" i="23"/>
  <c r="M17" i="23"/>
  <c r="G54" i="19"/>
  <c r="E54" i="19"/>
  <c r="M54" i="19"/>
  <c r="O54" i="19"/>
  <c r="E19" i="15"/>
  <c r="K16" i="15"/>
  <c r="K19" i="15" s="1"/>
  <c r="C7" i="23"/>
  <c r="M7" i="23"/>
  <c r="C7" i="19"/>
  <c r="C50" i="19" s="1"/>
  <c r="K7" i="19"/>
  <c r="K31" i="19" s="1"/>
  <c r="C7" i="21"/>
  <c r="C43" i="21" s="1"/>
  <c r="K7" i="21"/>
  <c r="K27" i="21" s="1"/>
  <c r="C7" i="18"/>
  <c r="I7" i="18"/>
  <c r="C7" i="17"/>
  <c r="I7" i="17"/>
  <c r="I7" i="16"/>
  <c r="K7" i="16"/>
  <c r="C7" i="15"/>
  <c r="I7" i="15"/>
  <c r="C7" i="14"/>
  <c r="E7" i="14"/>
  <c r="C7" i="13"/>
  <c r="G7" i="13"/>
  <c r="C7" i="11"/>
  <c r="M7" i="11"/>
  <c r="C7" i="10"/>
  <c r="M7" i="10"/>
  <c r="I7" i="7"/>
  <c r="C7" i="7"/>
  <c r="AC7" i="5"/>
  <c r="O7" i="5"/>
  <c r="Q7" i="4"/>
  <c r="C7" i="4"/>
  <c r="I54" i="19" l="1"/>
  <c r="G14" i="11"/>
  <c r="K50" i="19"/>
  <c r="C31" i="19"/>
  <c r="C27" i="21"/>
  <c r="K43" i="21"/>
  <c r="I46" i="21" l="1"/>
  <c r="E14" i="11" s="1"/>
  <c r="Q46" i="21"/>
  <c r="O46" i="21"/>
  <c r="M46" i="21"/>
  <c r="E46" i="21"/>
  <c r="C25" i="2"/>
  <c r="O14" i="11" l="1"/>
  <c r="G16" i="15"/>
  <c r="I17" i="23"/>
  <c r="O17" i="23"/>
  <c r="Q17" i="23"/>
  <c r="M10" i="18"/>
  <c r="M11" i="18"/>
  <c r="G10" i="18"/>
  <c r="G11" i="18"/>
  <c r="E16" i="7"/>
  <c r="G17" i="23"/>
  <c r="I18" i="15"/>
  <c r="I19" i="15" s="1"/>
  <c r="I10" i="16"/>
  <c r="Q20" i="23" l="1"/>
  <c r="I13" i="16"/>
  <c r="I23" i="21"/>
  <c r="Q25" i="2"/>
  <c r="K10" i="16"/>
  <c r="M19" i="10" s="1"/>
  <c r="Q48" i="21" l="1"/>
  <c r="Q50" i="21" s="1"/>
  <c r="I57" i="19"/>
  <c r="I59" i="19" s="1"/>
  <c r="M18" i="15"/>
  <c r="M19" i="15" s="1"/>
  <c r="I10" i="7"/>
  <c r="I11" i="7"/>
  <c r="A3" i="7"/>
  <c r="A3" i="5"/>
  <c r="A3" i="4"/>
  <c r="A3" i="21"/>
  <c r="A3" i="23"/>
  <c r="O25" i="10" l="1"/>
  <c r="O26" i="10"/>
  <c r="E20" i="10"/>
  <c r="E26" i="10"/>
  <c r="E21" i="10"/>
  <c r="E22" i="10"/>
  <c r="E23" i="10"/>
  <c r="O23" i="10"/>
  <c r="O20" i="10"/>
  <c r="E24" i="10"/>
  <c r="O22" i="10"/>
  <c r="O21" i="10"/>
  <c r="E25" i="10"/>
  <c r="O24" i="10"/>
  <c r="O32" i="9"/>
  <c r="E36" i="9"/>
  <c r="O33" i="9"/>
  <c r="O34" i="9"/>
  <c r="O35" i="9"/>
  <c r="O36" i="9"/>
  <c r="E29" i="9"/>
  <c r="E30" i="9"/>
  <c r="E35" i="9"/>
  <c r="E31" i="9"/>
  <c r="E32" i="9"/>
  <c r="O29" i="9"/>
  <c r="E33" i="9"/>
  <c r="O31" i="9"/>
  <c r="O30" i="9"/>
  <c r="E34" i="9"/>
  <c r="Q30" i="9"/>
  <c r="Q31" i="9"/>
  <c r="Q32" i="9"/>
  <c r="Q33" i="9"/>
  <c r="Q34" i="9"/>
  <c r="Q35" i="9"/>
  <c r="Q36" i="9"/>
  <c r="Q29" i="9"/>
  <c r="O17" i="9"/>
  <c r="O10" i="9"/>
  <c r="E13" i="9"/>
  <c r="E25" i="9"/>
  <c r="O18" i="10"/>
  <c r="E18" i="10"/>
  <c r="O18" i="9"/>
  <c r="E14" i="9"/>
  <c r="E26" i="9"/>
  <c r="E28" i="9"/>
  <c r="O19" i="9"/>
  <c r="E15" i="9"/>
  <c r="E27" i="9"/>
  <c r="E16" i="9"/>
  <c r="O20" i="9"/>
  <c r="O21" i="9"/>
  <c r="E17" i="9"/>
  <c r="E10" i="9"/>
  <c r="O11" i="10"/>
  <c r="E11" i="10"/>
  <c r="O10" i="11"/>
  <c r="O11" i="11"/>
  <c r="O22" i="9"/>
  <c r="E18" i="9"/>
  <c r="O12" i="10"/>
  <c r="O19" i="10"/>
  <c r="E12" i="10"/>
  <c r="E19" i="10"/>
  <c r="O11" i="9"/>
  <c r="O23" i="9"/>
  <c r="E19" i="9"/>
  <c r="E12" i="9"/>
  <c r="O12" i="9"/>
  <c r="O24" i="9"/>
  <c r="E20" i="9"/>
  <c r="O13" i="10"/>
  <c r="O10" i="10"/>
  <c r="E13" i="10"/>
  <c r="E10" i="10"/>
  <c r="O13" i="9"/>
  <c r="O25" i="9"/>
  <c r="E21" i="9"/>
  <c r="O14" i="10"/>
  <c r="E14" i="10"/>
  <c r="O17" i="10"/>
  <c r="O14" i="9"/>
  <c r="O26" i="9"/>
  <c r="E22" i="9"/>
  <c r="O15" i="10"/>
  <c r="E15" i="10"/>
  <c r="E11" i="11"/>
  <c r="O16" i="9"/>
  <c r="E17" i="10"/>
  <c r="O15" i="9"/>
  <c r="O27" i="9"/>
  <c r="E11" i="9"/>
  <c r="E23" i="9"/>
  <c r="O16" i="10"/>
  <c r="E16" i="10"/>
  <c r="E10" i="11"/>
  <c r="O28" i="9"/>
  <c r="E24" i="9"/>
  <c r="I13" i="7"/>
  <c r="AK11" i="5"/>
  <c r="AK14" i="5" s="1"/>
  <c r="AI11" i="5"/>
  <c r="W25" i="2"/>
  <c r="I12" i="8"/>
  <c r="C18" i="15"/>
  <c r="E27" i="10" l="1"/>
  <c r="O27" i="10"/>
  <c r="I16" i="7"/>
  <c r="AI15" i="5"/>
  <c r="E37" i="9"/>
  <c r="O37" i="9"/>
  <c r="W29" i="2"/>
  <c r="K16" i="7"/>
  <c r="Y20" i="4"/>
  <c r="Y23" i="4" s="1"/>
  <c r="I25" i="2"/>
  <c r="U25" i="2"/>
  <c r="E12" i="11"/>
  <c r="O12" i="11"/>
  <c r="U28" i="2" l="1"/>
  <c r="E15" i="11"/>
  <c r="I28" i="2"/>
  <c r="Q27" i="2"/>
  <c r="Q28" i="2" s="1"/>
  <c r="O15" i="11"/>
  <c r="G18" i="15"/>
  <c r="G19" i="15" s="1"/>
  <c r="C19" i="15"/>
  <c r="Y28" i="2"/>
  <c r="M12" i="18"/>
  <c r="A3" i="19"/>
  <c r="C12" i="18"/>
  <c r="E12" i="18"/>
  <c r="G12" i="18"/>
  <c r="K12" i="18"/>
  <c r="I12" i="18"/>
  <c r="A3" i="18"/>
  <c r="K11" i="17"/>
  <c r="K14" i="17" s="1"/>
  <c r="E11" i="17"/>
  <c r="E14" i="17" s="1"/>
  <c r="G11" i="17"/>
  <c r="I11" i="17"/>
  <c r="C11" i="17"/>
  <c r="A3" i="17"/>
  <c r="A3" i="16"/>
  <c r="A3" i="15"/>
  <c r="A3" i="12"/>
  <c r="A3" i="14"/>
  <c r="A3" i="13"/>
  <c r="A3" i="11"/>
  <c r="A3" i="10"/>
  <c r="Q20" i="10" l="1"/>
  <c r="S20" i="10" s="1"/>
  <c r="G24" i="10"/>
  <c r="Q21" i="10"/>
  <c r="S21" i="10" s="1"/>
  <c r="G26" i="10"/>
  <c r="Q22" i="10"/>
  <c r="S22" i="10" s="1"/>
  <c r="Q23" i="10"/>
  <c r="S23" i="10" s="1"/>
  <c r="Q24" i="10"/>
  <c r="S24" i="10" s="1"/>
  <c r="G22" i="10"/>
  <c r="Q25" i="10"/>
  <c r="S25" i="10" s="1"/>
  <c r="G21" i="10"/>
  <c r="Q26" i="10"/>
  <c r="S26" i="10" s="1"/>
  <c r="G20" i="10"/>
  <c r="G23" i="10"/>
  <c r="G25" i="10"/>
  <c r="C22" i="10"/>
  <c r="I22" i="10" s="1"/>
  <c r="K22" i="10" s="1"/>
  <c r="C24" i="10"/>
  <c r="I24" i="10" s="1"/>
  <c r="K24" i="10" s="1"/>
  <c r="C23" i="10"/>
  <c r="C25" i="10"/>
  <c r="C26" i="10"/>
  <c r="C19" i="10"/>
  <c r="C20" i="10"/>
  <c r="I20" i="10" s="1"/>
  <c r="K20" i="10" s="1"/>
  <c r="C21" i="10"/>
  <c r="I21" i="10" s="1"/>
  <c r="K21" i="10" s="1"/>
  <c r="M36" i="9"/>
  <c r="S36" i="9" s="1"/>
  <c r="C29" i="9"/>
  <c r="C30" i="9"/>
  <c r="C31" i="9"/>
  <c r="C32" i="9"/>
  <c r="M29" i="9"/>
  <c r="S29" i="9" s="1"/>
  <c r="C33" i="9"/>
  <c r="M30" i="9"/>
  <c r="S30" i="9" s="1"/>
  <c r="C34" i="9"/>
  <c r="M31" i="9"/>
  <c r="S31" i="9" s="1"/>
  <c r="C35" i="9"/>
  <c r="M32" i="9"/>
  <c r="S32" i="9" s="1"/>
  <c r="C36" i="9"/>
  <c r="M35" i="9"/>
  <c r="S35" i="9" s="1"/>
  <c r="M33" i="9"/>
  <c r="S33" i="9" s="1"/>
  <c r="M34" i="9"/>
  <c r="S34" i="9" s="1"/>
  <c r="G32" i="9"/>
  <c r="G33" i="9"/>
  <c r="G34" i="9"/>
  <c r="G35" i="9"/>
  <c r="G36" i="9"/>
  <c r="G31" i="9"/>
  <c r="G29" i="9"/>
  <c r="G30" i="9"/>
  <c r="M22" i="9"/>
  <c r="C18" i="9"/>
  <c r="C21" i="9"/>
  <c r="M11" i="9"/>
  <c r="M23" i="9"/>
  <c r="C19" i="9"/>
  <c r="M13" i="9"/>
  <c r="M12" i="9"/>
  <c r="M24" i="9"/>
  <c r="C20" i="9"/>
  <c r="M25" i="9"/>
  <c r="M14" i="9"/>
  <c r="M26" i="9"/>
  <c r="C22" i="9"/>
  <c r="C17" i="9"/>
  <c r="M15" i="9"/>
  <c r="M27" i="9"/>
  <c r="C11" i="9"/>
  <c r="C23" i="9"/>
  <c r="M16" i="9"/>
  <c r="M28" i="9"/>
  <c r="C12" i="9"/>
  <c r="C24" i="9"/>
  <c r="M17" i="9"/>
  <c r="M10" i="9"/>
  <c r="C13" i="9"/>
  <c r="C25" i="9"/>
  <c r="M18" i="9"/>
  <c r="C14" i="9"/>
  <c r="C26" i="9"/>
  <c r="M21" i="9"/>
  <c r="M19" i="9"/>
  <c r="C15" i="9"/>
  <c r="C27" i="9"/>
  <c r="C10" i="9"/>
  <c r="M20" i="9"/>
  <c r="C16" i="9"/>
  <c r="C28" i="9"/>
  <c r="M13" i="10"/>
  <c r="C13" i="10"/>
  <c r="M14" i="10"/>
  <c r="C14" i="10"/>
  <c r="M15" i="10"/>
  <c r="C15" i="10"/>
  <c r="C16" i="10"/>
  <c r="M17" i="10"/>
  <c r="C17" i="10"/>
  <c r="M18" i="10"/>
  <c r="C18" i="10"/>
  <c r="M10" i="10"/>
  <c r="M16" i="10"/>
  <c r="C10" i="10"/>
  <c r="M11" i="10"/>
  <c r="C11" i="10"/>
  <c r="M12" i="10"/>
  <c r="C12" i="10"/>
  <c r="C10" i="11"/>
  <c r="M11" i="11"/>
  <c r="M10" i="11"/>
  <c r="C11" i="11"/>
  <c r="Q12" i="9"/>
  <c r="Q24" i="9"/>
  <c r="G20" i="9"/>
  <c r="Q11" i="10"/>
  <c r="G11" i="10"/>
  <c r="G23" i="9"/>
  <c r="Q13" i="9"/>
  <c r="Q25" i="9"/>
  <c r="G21" i="9"/>
  <c r="Q12" i="10"/>
  <c r="Q19" i="10"/>
  <c r="G12" i="10"/>
  <c r="G19" i="10"/>
  <c r="Q11" i="11"/>
  <c r="G11" i="9"/>
  <c r="Q13" i="10"/>
  <c r="Q14" i="9"/>
  <c r="Q26" i="9"/>
  <c r="G22" i="9"/>
  <c r="Q10" i="11"/>
  <c r="Q10" i="10"/>
  <c r="Q15" i="9"/>
  <c r="Q27" i="9"/>
  <c r="Q16" i="9"/>
  <c r="Q28" i="9"/>
  <c r="G12" i="9"/>
  <c r="G24" i="9"/>
  <c r="Q14" i="10"/>
  <c r="G14" i="10"/>
  <c r="Q17" i="9"/>
  <c r="Q10" i="9"/>
  <c r="G13" i="9"/>
  <c r="G25" i="9"/>
  <c r="Q15" i="10"/>
  <c r="G15" i="10"/>
  <c r="G19" i="9"/>
  <c r="G10" i="10"/>
  <c r="Q18" i="9"/>
  <c r="G14" i="9"/>
  <c r="G26" i="9"/>
  <c r="Q16" i="10"/>
  <c r="G16" i="10"/>
  <c r="Q19" i="9"/>
  <c r="G15" i="9"/>
  <c r="G27" i="9"/>
  <c r="Q17" i="10"/>
  <c r="G17" i="10"/>
  <c r="G11" i="11"/>
  <c r="Q20" i="9"/>
  <c r="G16" i="9"/>
  <c r="G28" i="9"/>
  <c r="Q18" i="10"/>
  <c r="G18" i="10"/>
  <c r="G10" i="11"/>
  <c r="Q21" i="9"/>
  <c r="G17" i="9"/>
  <c r="G10" i="9"/>
  <c r="Q23" i="9"/>
  <c r="G13" i="10"/>
  <c r="Q22" i="9"/>
  <c r="G18" i="9"/>
  <c r="Q11" i="9"/>
  <c r="G11" i="13"/>
  <c r="G12" i="13"/>
  <c r="G10" i="13"/>
  <c r="C11" i="13"/>
  <c r="C12" i="13"/>
  <c r="C10" i="13"/>
  <c r="K13" i="16"/>
  <c r="S10" i="11" l="1"/>
  <c r="S11" i="11"/>
  <c r="I26" i="10"/>
  <c r="K26" i="10" s="1"/>
  <c r="M27" i="10"/>
  <c r="G27" i="10"/>
  <c r="Q27" i="10"/>
  <c r="I25" i="10"/>
  <c r="K25" i="10" s="1"/>
  <c r="I23" i="10"/>
  <c r="K23" i="10" s="1"/>
  <c r="C27" i="10"/>
  <c r="Q12" i="11"/>
  <c r="C37" i="9"/>
  <c r="I35" i="9"/>
  <c r="K35" i="9" s="1"/>
  <c r="I34" i="9"/>
  <c r="K34" i="9" s="1"/>
  <c r="I33" i="9"/>
  <c r="K33" i="9" s="1"/>
  <c r="G37" i="9"/>
  <c r="I32" i="9"/>
  <c r="K32" i="9" s="1"/>
  <c r="I31" i="9"/>
  <c r="K31" i="9" s="1"/>
  <c r="I30" i="9"/>
  <c r="K30" i="9" s="1"/>
  <c r="Q37" i="9"/>
  <c r="I29" i="9"/>
  <c r="K29" i="9" s="1"/>
  <c r="M37" i="9"/>
  <c r="I36" i="9"/>
  <c r="K36" i="9" s="1"/>
  <c r="G12" i="11"/>
  <c r="S19" i="10"/>
  <c r="S20" i="9"/>
  <c r="S17" i="9"/>
  <c r="S14" i="9"/>
  <c r="S11" i="10"/>
  <c r="I18" i="10"/>
  <c r="K18" i="10" s="1"/>
  <c r="I28" i="9"/>
  <c r="K28" i="9" s="1"/>
  <c r="I13" i="9"/>
  <c r="K13" i="9" s="1"/>
  <c r="I22" i="9"/>
  <c r="K22" i="9" s="1"/>
  <c r="I18" i="9"/>
  <c r="K18" i="9" s="1"/>
  <c r="I17" i="10"/>
  <c r="K17" i="10" s="1"/>
  <c r="I10" i="9"/>
  <c r="K10" i="9" s="1"/>
  <c r="I24" i="9"/>
  <c r="K24" i="9" s="1"/>
  <c r="S25" i="9"/>
  <c r="I10" i="10"/>
  <c r="K10" i="10" s="1"/>
  <c r="I10" i="11"/>
  <c r="K10" i="11" s="1"/>
  <c r="C12" i="11"/>
  <c r="S17" i="10"/>
  <c r="I27" i="9"/>
  <c r="K27" i="9" s="1"/>
  <c r="I12" i="9"/>
  <c r="K12" i="9" s="1"/>
  <c r="I20" i="9"/>
  <c r="K20" i="9" s="1"/>
  <c r="C13" i="13"/>
  <c r="I19" i="10"/>
  <c r="K19" i="10" s="1"/>
  <c r="I16" i="10"/>
  <c r="K16" i="10" s="1"/>
  <c r="I15" i="9"/>
  <c r="K15" i="9" s="1"/>
  <c r="S28" i="9"/>
  <c r="S24" i="9"/>
  <c r="M12" i="11"/>
  <c r="I12" i="10"/>
  <c r="K12" i="10" s="1"/>
  <c r="I15" i="10"/>
  <c r="K15" i="10" s="1"/>
  <c r="S19" i="9"/>
  <c r="S16" i="9"/>
  <c r="S12" i="9"/>
  <c r="S16" i="10"/>
  <c r="S15" i="10"/>
  <c r="S21" i="9"/>
  <c r="I23" i="9"/>
  <c r="K23" i="9" s="1"/>
  <c r="S13" i="9"/>
  <c r="G13" i="13"/>
  <c r="S12" i="10"/>
  <c r="S10" i="10"/>
  <c r="I14" i="10"/>
  <c r="K14" i="10" s="1"/>
  <c r="I26" i="9"/>
  <c r="K26" i="9" s="1"/>
  <c r="I11" i="9"/>
  <c r="K11" i="9" s="1"/>
  <c r="I19" i="9"/>
  <c r="K19" i="9" s="1"/>
  <c r="S14" i="10"/>
  <c r="I14" i="9"/>
  <c r="K14" i="9" s="1"/>
  <c r="S27" i="9"/>
  <c r="S23" i="9"/>
  <c r="I11" i="10"/>
  <c r="K11" i="10" s="1"/>
  <c r="I13" i="10"/>
  <c r="K13" i="10" s="1"/>
  <c r="S18" i="9"/>
  <c r="S15" i="9"/>
  <c r="S11" i="9"/>
  <c r="S13" i="10"/>
  <c r="I25" i="9"/>
  <c r="K25" i="9" s="1"/>
  <c r="I17" i="9"/>
  <c r="K17" i="9" s="1"/>
  <c r="I21" i="9"/>
  <c r="K21" i="9" s="1"/>
  <c r="I11" i="11"/>
  <c r="K11" i="11" s="1"/>
  <c r="S18" i="10"/>
  <c r="I16" i="9"/>
  <c r="K16" i="9" s="1"/>
  <c r="S10" i="9"/>
  <c r="S26" i="9"/>
  <c r="S22" i="9"/>
  <c r="E11" i="8" l="1"/>
  <c r="I11" i="8" s="1"/>
  <c r="I10" i="13"/>
  <c r="K15" i="16"/>
  <c r="I20" i="15"/>
  <c r="K27" i="10"/>
  <c r="I27" i="10"/>
  <c r="S27" i="10"/>
  <c r="E9" i="8" s="1"/>
  <c r="I9" i="8" s="1"/>
  <c r="K37" i="9"/>
  <c r="Q15" i="11"/>
  <c r="I12" i="11"/>
  <c r="G15" i="11"/>
  <c r="I37" i="9"/>
  <c r="S37" i="9"/>
  <c r="C14" i="18"/>
  <c r="C15" i="18" s="1"/>
  <c r="E11" i="13"/>
  <c r="C16" i="13"/>
  <c r="E10" i="13"/>
  <c r="G16" i="13"/>
  <c r="I11" i="13"/>
  <c r="I14" i="18"/>
  <c r="I15" i="18" s="1"/>
  <c r="E12" i="13"/>
  <c r="C13" i="17"/>
  <c r="C15" i="11"/>
  <c r="I13" i="17"/>
  <c r="M15" i="11"/>
  <c r="S12" i="11"/>
  <c r="E10" i="8" s="1"/>
  <c r="I12" i="13"/>
  <c r="A3" i="9"/>
  <c r="C13" i="7"/>
  <c r="AC11" i="5"/>
  <c r="AC14" i="5" s="1"/>
  <c r="AG11" i="5"/>
  <c r="E8" i="8" l="1"/>
  <c r="I8" i="8" s="1"/>
  <c r="AG14" i="5"/>
  <c r="E13" i="13"/>
  <c r="K12" i="11"/>
  <c r="I13" i="13"/>
  <c r="M13" i="17"/>
  <c r="M14" i="17" s="1"/>
  <c r="I14" i="17"/>
  <c r="G13" i="17"/>
  <c r="G14" i="17" s="1"/>
  <c r="C14" i="17"/>
  <c r="C16" i="7"/>
  <c r="E25" i="2"/>
  <c r="G25" i="2"/>
  <c r="K25" i="2"/>
  <c r="K28" i="2" s="1"/>
  <c r="O25" i="2"/>
  <c r="O28" i="2" s="1"/>
  <c r="E13" i="8" l="1"/>
  <c r="I10" i="8"/>
  <c r="U36" i="9"/>
  <c r="U29" i="9"/>
  <c r="U30" i="9"/>
  <c r="I13" i="8"/>
  <c r="U13" i="9"/>
  <c r="U13" i="10"/>
  <c r="U14" i="10"/>
  <c r="U22" i="9"/>
  <c r="U21" i="9"/>
  <c r="U14" i="9"/>
  <c r="U25" i="9"/>
  <c r="U19" i="9"/>
  <c r="G9" i="8"/>
  <c r="U24" i="9"/>
  <c r="G12" i="8"/>
  <c r="U18" i="9"/>
  <c r="G10" i="8"/>
  <c r="G11" i="8"/>
  <c r="U15" i="10"/>
  <c r="U26" i="9"/>
  <c r="U17" i="9"/>
  <c r="U10" i="9"/>
  <c r="E16" i="8"/>
  <c r="U28" i="9"/>
  <c r="U12" i="9"/>
  <c r="U16" i="9"/>
  <c r="U17" i="10"/>
  <c r="U23" i="9"/>
  <c r="U27" i="9"/>
  <c r="U19" i="10"/>
  <c r="U11" i="10"/>
  <c r="U18" i="10"/>
  <c r="G8" i="8"/>
  <c r="U16" i="10"/>
  <c r="U15" i="9"/>
  <c r="G28" i="2"/>
  <c r="E28" i="2"/>
  <c r="U11" i="9" l="1"/>
  <c r="U12" i="10"/>
  <c r="U10" i="10"/>
  <c r="U11" i="11"/>
  <c r="U10" i="11"/>
  <c r="U12" i="11" s="1"/>
  <c r="U32" i="9"/>
  <c r="U20" i="9"/>
  <c r="U35" i="9"/>
  <c r="U34" i="9"/>
  <c r="U33" i="9"/>
  <c r="U31" i="9"/>
  <c r="U37" i="9" s="1"/>
  <c r="U20" i="10"/>
  <c r="U21" i="10"/>
  <c r="U25" i="10"/>
  <c r="U26" i="10"/>
  <c r="U24" i="10"/>
  <c r="U23" i="10"/>
  <c r="U22" i="10"/>
  <c r="G13" i="8"/>
  <c r="U27" i="10" l="1"/>
  <c r="Q57" i="19"/>
  <c r="Q59" i="19" s="1"/>
  <c r="Q61" i="19" s="1"/>
</calcChain>
</file>

<file path=xl/sharedStrings.xml><?xml version="1.0" encoding="utf-8"?>
<sst xmlns="http://schemas.openxmlformats.org/spreadsheetml/2006/main" count="533" uniqueCount="195">
  <si>
    <t>صندوق سرمایه‌گذاری اختصاصی بازارگردانی لاجورد دماوند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</si>
  <si>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</si>
  <si>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</si>
  <si>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</si>
  <si>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</si>
  <si>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</si>
  <si>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</si>
  <si>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</si>
  <si>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</si>
  <si>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</si>
  <si>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</si>
  <si>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</si>
  <si>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دماوند</t>
  </si>
  <si>
    <t>بین المللی ساروج بوشهر</t>
  </si>
  <si>
    <t>توسعه حمل و نقل ریلی پارسیان</t>
  </si>
  <si>
    <t>توسعه سرمایه و صنعت غدیر</t>
  </si>
  <si>
    <t>آ.س.پ</t>
  </si>
  <si>
    <t>آهن و فولاد غدیر ایرانیان</t>
  </si>
  <si>
    <t>بین‌المللی‌توسعه‌ساختمان</t>
  </si>
  <si>
    <t>بیمه کوثر</t>
  </si>
  <si>
    <t>توسعه مسیر برق گیلان</t>
  </si>
  <si>
    <t>بین المللی توسعه ص. معادن غدیر</t>
  </si>
  <si>
    <t>حفاری شمال</t>
  </si>
  <si>
    <t>فولاد خراسان</t>
  </si>
  <si>
    <t>صبا فولاد خلیج فارس</t>
  </si>
  <si>
    <t>سرمایه‌گذاری‌غدیر(هلدینگ‌</t>
  </si>
  <si>
    <t>بیمه اتکایی امین</t>
  </si>
  <si>
    <t>فولاد سیرجان ایرانیان</t>
  </si>
  <si>
    <t>لیزینگ اقتصاد نوین</t>
  </si>
  <si>
    <t>جمع</t>
  </si>
  <si>
    <t>نام سهام</t>
  </si>
  <si>
    <t>تاریخ اعمال</t>
  </si>
  <si>
    <t>نرخ سود موثر</t>
  </si>
  <si>
    <t>تعداد اوراق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</si>
  <si>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</si>
  <si>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</si>
  <si>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</si>
  <si>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</si>
  <si>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</si>
  <si>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سپر سرمایه بیدار- ثابت</t>
  </si>
  <si>
    <t>صندوق س. سپید دماوند-د</t>
  </si>
  <si>
    <t>صندوق اندیشه ورزان صباتامین -د</t>
  </si>
  <si>
    <t>صندوق س.درآمدثابت شمیم تابان-د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</si>
  <si>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</si>
  <si>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</si>
  <si>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</si>
  <si>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</si>
  <si>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</si>
  <si>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</si>
  <si>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</si>
  <si>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پدیده شیمی غرب 14060704</t>
  </si>
  <si>
    <t>بله</t>
  </si>
  <si>
    <t>1401/07/04</t>
  </si>
  <si>
    <t>1406/07/04</t>
  </si>
  <si>
    <t>صکوک اجاره گل گهر504-3ماهه23%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</si>
  <si>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</si>
  <si>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</si>
  <si>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</si>
  <si>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</si>
  <si>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</si>
  <si>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</si>
  <si>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</si>
  <si>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2-2</t>
  </si>
  <si>
    <t>سایر درآمدها</t>
  </si>
  <si>
    <t>سهام</t>
  </si>
  <si>
    <t>درآمد سود سهام</t>
  </si>
  <si>
    <t>درآمد تغییر ارزش</t>
  </si>
  <si>
    <t>درآمد فروش</t>
  </si>
  <si>
    <t>درآمد سود صندوق</t>
  </si>
  <si>
    <t>صندوق ص.س.درآمد ثابت اطمینان هیوا-د</t>
  </si>
  <si>
    <t>عنوان</t>
  </si>
  <si>
    <t>درآمد سود اوراق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</si>
  <si>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</si>
  <si>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</si>
  <si>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</si>
  <si>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نام ورقه بهادار</t>
  </si>
  <si>
    <t>بهای تمام شده اوراق</t>
  </si>
  <si>
    <t>نرخ اسمی</t>
  </si>
  <si>
    <t>نام سپرده بانکی</t>
  </si>
  <si>
    <t>سود سپرده بانکی و گواهی سپرده</t>
  </si>
  <si>
    <t>درصد سود به میانگین سپرده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</si>
  <si>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</si>
  <si>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</si>
  <si>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</si>
  <si>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</si>
  <si>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</si>
  <si>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</si>
  <si>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</si>
  <si>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</si>
  <si>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درآمد سود</t>
  </si>
  <si>
    <t>خالص درآمد</t>
  </si>
  <si>
    <t>خالص بهای فروش</t>
  </si>
  <si>
    <t>ارزش دفتری</t>
  </si>
  <si>
    <t>سود و زیان ناشی از فروش</t>
  </si>
  <si>
    <t>نام اختیار</t>
  </si>
  <si>
    <t>کارمزد اعمال</t>
  </si>
  <si>
    <t>مالیات اعمال</t>
  </si>
  <si>
    <t>سود(زیان)اعمال</t>
  </si>
  <si>
    <t>سود و زیان ناشی از تغییر قیمت</t>
  </si>
  <si>
    <t>‫صندوق سرمایه گذاری اختصاصی بازارگردانی لاجورد دماوند</t>
  </si>
  <si>
    <t>گزارش افشا پرتفوی ماهانه</t>
  </si>
  <si>
    <t>در اجرای ابلاغیه شماره 12020093 مورخ 1396/09/05 سازمان بورس اوراق بهادار</t>
  </si>
  <si>
    <t>(مبالغ به ریال)</t>
  </si>
  <si>
    <t>1-3- سرمایه‌گذاری در اوراق بهادار با درآمد ثابت یا علی‌الحساب</t>
  </si>
  <si>
    <t>بانک سینا</t>
  </si>
  <si>
    <t>بانک تجارت</t>
  </si>
  <si>
    <t>1-4- سرمایه‌گذاری در سپرده‌ بانکی</t>
  </si>
  <si>
    <t>2-1</t>
  </si>
  <si>
    <t>2-3</t>
  </si>
  <si>
    <t>2-4</t>
  </si>
  <si>
    <t>2-5</t>
  </si>
  <si>
    <t>یادداشت1-1-2</t>
  </si>
  <si>
    <t>یادداشت2-1-2</t>
  </si>
  <si>
    <t>یادداشت3-1-2</t>
  </si>
  <si>
    <t>یادداشت1-2-2</t>
  </si>
  <si>
    <t>یادداشت2-2-2</t>
  </si>
  <si>
    <t>یادداشت3-2-2</t>
  </si>
  <si>
    <t>یادداشت1-3-2</t>
  </si>
  <si>
    <t>یادداشت2-3-2</t>
  </si>
  <si>
    <t>یادداشت3-3-2</t>
  </si>
  <si>
    <t>یادداشت1-4-2</t>
  </si>
  <si>
    <t>اوراق بهادار با درآمد ثابت</t>
  </si>
  <si>
    <t>درآمد حاصل از تنزیل سود سهام دریافتنی</t>
  </si>
  <si>
    <t>نماد</t>
  </si>
  <si>
    <t>درصد</t>
  </si>
  <si>
    <t xml:space="preserve">2-5- سایر درآمدها </t>
  </si>
  <si>
    <t>2-5-1- مبالغ تخصیص یافته بابت خرید و نگهداری اوراق بهادار با درآمد ثابت (نرخ سود ترجیحی)</t>
  </si>
  <si>
    <t xml:space="preserve"> مرابحه پدیده شیمی غرب 14040704</t>
  </si>
  <si>
    <t>غرب06</t>
  </si>
  <si>
    <t>2-1-1- درآمد سود سهام</t>
  </si>
  <si>
    <t>2-2-1- درآمد سود صندوق</t>
  </si>
  <si>
    <t>2-3-1- سود اوراق بهادار با درآمد ثابت</t>
  </si>
  <si>
    <t>2-4-1- سود سپرده بانکی</t>
  </si>
  <si>
    <t>2-3-1- سود (زیان) ناشی از اعمال اختیار معامله سهام</t>
  </si>
  <si>
    <t>2-1-3- سود(زیان) حاصل از فروش سهام</t>
  </si>
  <si>
    <t>2-2-3- سود(زیان) حاصل از فروش واحد صندوق</t>
  </si>
  <si>
    <t>2-2-2- درآمد ناشی از تغییر قیمت واحد صندوق</t>
  </si>
  <si>
    <t>گروه مالی نماد غدیر(سهامی عام)</t>
  </si>
  <si>
    <t>ح.فولاد سیرجان ایرانیان</t>
  </si>
  <si>
    <t>ص.س.درآمد ثابت اطمینان هیوا-د</t>
  </si>
  <si>
    <t>1404/12/06</t>
  </si>
  <si>
    <t>صندوق س. ارزش پاداش-د</t>
  </si>
  <si>
    <t>اختیارخ وغدیر-18000-1404/12/06(ضغدر12081)</t>
  </si>
  <si>
    <t>اختیارخ وغدیر-16000-1405/02/02(ضغدر20351)</t>
  </si>
  <si>
    <t>اختیارخ وغدیر-18000-1405/02/02(ضغدر20361)</t>
  </si>
  <si>
    <t>اختیارخ وغدیر-15000-1405/02/02(ضغدر20341)</t>
  </si>
  <si>
    <t>اختیارخ وغدیر-13000-1404/12/06(ضغدر12041)</t>
  </si>
  <si>
    <t>اختیارخ وغدیر-14000-1404/12/06(ضغدر12051)</t>
  </si>
  <si>
    <t>اختیارخ وغدیر-16000-1404/12/06(ضغدر12071)</t>
  </si>
  <si>
    <t>اختیارخ وغدیر-15000-1404/12/06(ضغدر12061)</t>
  </si>
  <si>
    <t>صندوق س. جام سبز سهند-س</t>
  </si>
  <si>
    <t>بانک رسالت</t>
  </si>
  <si>
    <t>صندوق س. با درآمد ثابت مانی</t>
  </si>
  <si>
    <t>1405/01/16</t>
  </si>
  <si>
    <t>2-3-2- درآمد ناشی از تغییر قیمت اوراق بهادار با درآمد ثابت</t>
  </si>
  <si>
    <t>2-2-3- سود(زیان) حاصل از فروش اوراق بهادار با درآمد ثابت</t>
  </si>
  <si>
    <t>1- سرمایه‌گذاری‌ها</t>
  </si>
  <si>
    <t>1-1- سرمایه‌گذاری در سهام و حق تقدم سهام</t>
  </si>
  <si>
    <t>2-1- درآمد حاصل از سرمایه‌گذاری در سهام و حق تقدم سهام</t>
  </si>
  <si>
    <t>درآمد حاصل از سرمایه‌گذاری در سهام و حق تقدم سهام</t>
  </si>
  <si>
    <t>درآمد حاصل از سرمایه‌گذاری در واحدهای صندوق‌های سرمایه‌گذاری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</si>
  <si>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</si>
  <si>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</si>
  <si>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سپرده‌های بانکی</t>
  </si>
  <si>
    <t>درصد به کل دارایی‌ها</t>
  </si>
  <si>
    <t>1-2- سرمایه‌گذاری در واحدهای صندوق های سرمایه‌گذاری</t>
  </si>
  <si>
    <t>درصد از کل دارایی‌ها</t>
  </si>
  <si>
    <t>2- درآمد حاصل از سرمایه‌گذاری‌ها</t>
  </si>
  <si>
    <t>2-2- درآمد حاصل از سرمایه‌گذاری در واحدهای صندوق</t>
  </si>
  <si>
    <t>2-3- درآمد حاصل از سرمایه‌گذاری در اوراق بهادار با درآمد ثابت:</t>
  </si>
  <si>
    <t>2-4- درآمد حاصل از سرمایه‌گذاری در سپرده بانکی و گواهی سپرده</t>
  </si>
  <si>
    <t>1405/02/30</t>
  </si>
  <si>
    <t>صندوق س.طلوع نوین ثابت-د</t>
  </si>
  <si>
    <t>ص.س.درآمد ثابت رایا پایدار-د</t>
  </si>
  <si>
    <t>ص.س.درآمد ثابت برلیان شهر-د</t>
  </si>
  <si>
    <t>صندوق ص.س.د.ثابت ماه آفرید سپینود-د</t>
  </si>
  <si>
    <t>سرمایه‌گذاری‌غدیر(هلدینگ‌)</t>
  </si>
  <si>
    <t>گردشگری</t>
  </si>
  <si>
    <t>صندوق س.درآمد ثابت سام-د</t>
  </si>
  <si>
    <t xml:space="preserve">  </t>
  </si>
  <si>
    <t>ص.س.درآمد ثابت آبی هامون-د</t>
  </si>
  <si>
    <t>بین المللی توسعه ساختمان</t>
  </si>
  <si>
    <t>درآمد حاصل از کارمزد بازارگردانی</t>
  </si>
  <si>
    <t>1405/06/31</t>
  </si>
  <si>
    <t>صندوق س. نوع دوم اعتبار-د</t>
  </si>
  <si>
    <t>صندوق سرمایه‌گذاری نیلی دماوند</t>
  </si>
  <si>
    <t>دوره یک ماهه منتهی به 30 مهر 1405</t>
  </si>
  <si>
    <t>به تاریخ 30 مهر 1405</t>
  </si>
  <si>
    <t>1405/07/30</t>
  </si>
  <si>
    <t>صندوق س.درآمد ثابت خاورمیانه-د</t>
  </si>
  <si>
    <t>طی مهر ماه</t>
  </si>
  <si>
    <t>از ابتدای سال مالی تا پایان مهر ماه</t>
  </si>
  <si>
    <t>ح.لیزینگ اقتصاد نوین</t>
  </si>
  <si>
    <t>صندوق س. نوع دوم نیلی دماوند-د</t>
  </si>
  <si>
    <t xml:space="preserve">2-1-2- درآمد ناشی از تغییر قیمت سهام و  حق تقدم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</si>
</sst>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sz val="12"/>
      <color indexed="8"/>
      <name val="B Nazanin"/>
      <charset val="178"/>
    </font>
    <font>
      <sz val="16"/>
      <color indexed="8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theme="1"/>
      <name val="B Nazanin"/>
      <charset val="178"/>
    </font>
    <font>
      <sz val="16"/>
      <color rgb="FF000000"/>
      <name val="Arial"/>
      <family val="2"/>
    </font>
    <font>
      <sz val="18"/>
      <color rgb="FF000000"/>
      <name val="Arial"/>
      <family val="2"/>
    </font>
    <font>
      <sz val="14"/>
      <color rgb="FF000000"/>
      <name val="B Nazanin"/>
      <charset val="178"/>
    </font>
    <font>
      <sz val="10"/>
      <color rgb="FF000000"/>
      <name val="B Nazanin"/>
      <charset val="178"/>
    </font>
    <font>
      <sz val="16"/>
      <color rgb="FF000000"/>
      <name val="B Nazanin"/>
      <charset val="178"/>
    </font>
    <font>
      <b/>
      <sz val="18"/>
      <color theme="1"/>
      <name val="B Nazanin"/>
      <charset val="178"/>
    </font>
    <font>
      <sz val="18"/>
      <color rgb="FF000000"/>
      <name val="B Nazanin"/>
      <charset val="178"/>
    </font>
    <font>
      <b/>
      <sz val="16"/>
      <color rgb="FF000000"/>
      <name val="Arial"/>
      <family val="2"/>
    </font>
    <font>
      <b/>
      <sz val="20"/>
      <color rgb="FF000000"/>
      <name val="B Nazanin"/>
      <charset val="178"/>
    </font>
    <font>
      <b/>
      <sz val="16"/>
      <name val="B Nazanin"/>
      <charset val="178"/>
    </font>
    <font>
      <sz val="20"/>
      <color rgb="FF000000"/>
      <name val="B Nazanin"/>
      <charset val="178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b/>
      <sz val="28"/>
      <color theme="1"/>
      <name val="B Nazanin"/>
      <charset val="178"/>
    </font>
    <font>
      <b/>
      <sz val="28"/>
      <color rgb="FF000000"/>
      <name val="B Nazanin"/>
      <charset val="178"/>
    </font>
    <font>
      <sz val="28"/>
      <color rgb="FF000000"/>
      <name val="B Nazanin"/>
      <charset val="178"/>
    </font>
    <font>
      <sz val="24"/>
      <color rgb="FF000000"/>
      <name val="B Nazanin"/>
      <charset val="178"/>
    </font>
    <font>
      <b/>
      <sz val="24"/>
      <color rgb="FF000000"/>
      <name val="B Nazanin"/>
      <charset val="178"/>
    </font>
    <font>
      <sz val="26"/>
      <color rgb="FF000000"/>
      <name val="B Nazanin"/>
      <charset val="178"/>
    </font>
    <font>
      <b/>
      <sz val="26"/>
      <color rgb="FF000000"/>
      <name val="B Nazanin"/>
      <charset val="178"/>
    </font>
    <font>
      <sz val="26"/>
      <color theme="1"/>
      <name val="B Nazanin"/>
      <charset val="178"/>
    </font>
    <font>
      <b/>
      <sz val="26"/>
      <color theme="1"/>
      <name val="B Nazanin"/>
      <charset val="178"/>
    </font>
    <font>
      <sz val="2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/>
    <xf numFmtId="0" fontId="24" fillId="0" borderId="0"/>
  </cellStyleXfs>
  <cellXfs count="23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4" fillId="0" borderId="0" xfId="1" applyFont="1"/>
    <xf numFmtId="0" fontId="6" fillId="0" borderId="0" xfId="1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 readingOrder="2"/>
    </xf>
    <xf numFmtId="38" fontId="14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left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38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38" fontId="15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center" vertical="center"/>
    </xf>
    <xf numFmtId="38" fontId="16" fillId="0" borderId="0" xfId="0" applyNumberFormat="1" applyFont="1" applyAlignment="1">
      <alignment horizontal="left"/>
    </xf>
    <xf numFmtId="38" fontId="8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38" fontId="16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right" vertical="center" readingOrder="2"/>
    </xf>
    <xf numFmtId="38" fontId="18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left"/>
    </xf>
    <xf numFmtId="38" fontId="15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vertical="top"/>
    </xf>
    <xf numFmtId="40" fontId="15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right" vertical="center"/>
    </xf>
    <xf numFmtId="38" fontId="0" fillId="0" borderId="0" xfId="0" applyNumberFormat="1" applyAlignment="1">
      <alignment horizontal="left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horizontal="center" vertical="center"/>
    </xf>
    <xf numFmtId="38" fontId="8" fillId="0" borderId="5" xfId="0" applyNumberFormat="1" applyFont="1" applyBorder="1" applyAlignment="1">
      <alignment horizontal="center" vertical="center"/>
    </xf>
    <xf numFmtId="38" fontId="16" fillId="0" borderId="0" xfId="0" applyNumberFormat="1" applyFont="1" applyAlignment="1">
      <alignment horizontal="right" vertical="center"/>
    </xf>
    <xf numFmtId="38" fontId="9" fillId="0" borderId="3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left"/>
    </xf>
    <xf numFmtId="38" fontId="9" fillId="0" borderId="0" xfId="0" applyNumberFormat="1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38" fontId="16" fillId="0" borderId="8" xfId="0" applyNumberFormat="1" applyFont="1" applyBorder="1" applyAlignment="1">
      <alignment horizontal="center" vertical="center"/>
    </xf>
    <xf numFmtId="38" fontId="8" fillId="0" borderId="7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8" fillId="0" borderId="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/>
    </xf>
    <xf numFmtId="38" fontId="9" fillId="0" borderId="3" xfId="0" applyNumberFormat="1" applyFont="1" applyBorder="1" applyAlignment="1">
      <alignment horizontal="center" vertical="center" wrapText="1"/>
    </xf>
    <xf numFmtId="38" fontId="8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0" fontId="9" fillId="0" borderId="3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center"/>
    </xf>
    <xf numFmtId="38" fontId="16" fillId="0" borderId="0" xfId="0" quotePrefix="1" applyNumberFormat="1" applyFont="1" applyAlignment="1">
      <alignment horizontal="center" vertical="center"/>
    </xf>
    <xf numFmtId="38" fontId="16" fillId="0" borderId="0" xfId="0" applyNumberFormat="1" applyFont="1" applyAlignment="1">
      <alignment horizontal="right" vertical="top"/>
    </xf>
    <xf numFmtId="0" fontId="16" fillId="0" borderId="1" xfId="0" applyFont="1" applyBorder="1" applyAlignment="1">
      <alignment horizontal="right" vertical="center"/>
    </xf>
    <xf numFmtId="0" fontId="23" fillId="0" borderId="0" xfId="0" applyFont="1" applyAlignment="1">
      <alignment horizontal="left"/>
    </xf>
    <xf numFmtId="0" fontId="16" fillId="0" borderId="0" xfId="0" applyFont="1" applyAlignment="1">
      <alignment vertical="top"/>
    </xf>
    <xf numFmtId="38" fontId="14" fillId="0" borderId="9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center" vertical="center"/>
    </xf>
    <xf numFmtId="37" fontId="0" fillId="0" borderId="0" xfId="0" applyNumberFormat="1" applyAlignment="1">
      <alignment horizontal="left"/>
    </xf>
    <xf numFmtId="37" fontId="14" fillId="0" borderId="0" xfId="0" applyNumberFormat="1" applyFont="1" applyAlignment="1">
      <alignment horizontal="center" vertical="center"/>
    </xf>
    <xf numFmtId="37" fontId="15" fillId="0" borderId="0" xfId="0" applyNumberFormat="1" applyFont="1" applyAlignment="1">
      <alignment horizontal="left"/>
    </xf>
    <xf numFmtId="37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vertical="center"/>
    </xf>
    <xf numFmtId="37" fontId="25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left"/>
    </xf>
    <xf numFmtId="37" fontId="3" fillId="0" borderId="0" xfId="0" applyNumberFormat="1" applyFont="1" applyAlignment="1">
      <alignment vertical="center"/>
    </xf>
    <xf numFmtId="37" fontId="26" fillId="0" borderId="3" xfId="0" applyNumberFormat="1" applyFont="1" applyBorder="1" applyAlignment="1">
      <alignment horizontal="center" vertical="center" wrapText="1"/>
    </xf>
    <xf numFmtId="37" fontId="3" fillId="0" borderId="0" xfId="0" applyNumberFormat="1" applyFont="1" applyAlignment="1">
      <alignment vertical="center" wrapText="1"/>
    </xf>
    <xf numFmtId="37" fontId="18" fillId="0" borderId="0" xfId="0" applyNumberFormat="1" applyFont="1" applyAlignment="1">
      <alignment horizontal="right" vertical="center"/>
    </xf>
    <xf numFmtId="37" fontId="18" fillId="0" borderId="0" xfId="0" applyNumberFormat="1" applyFont="1" applyAlignment="1">
      <alignment horizontal="left"/>
    </xf>
    <xf numFmtId="37" fontId="18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vertical="center"/>
    </xf>
    <xf numFmtId="37" fontId="9" fillId="0" borderId="0" xfId="0" applyNumberFormat="1" applyFont="1" applyAlignment="1">
      <alignment horizontal="center" vertical="center"/>
    </xf>
    <xf numFmtId="37" fontId="22" fillId="0" borderId="0" xfId="0" applyNumberFormat="1" applyFont="1" applyAlignment="1">
      <alignment horizontal="right" vertical="center"/>
    </xf>
    <xf numFmtId="37" fontId="22" fillId="0" borderId="0" xfId="0" applyNumberFormat="1" applyFont="1" applyAlignment="1">
      <alignment horizontal="left"/>
    </xf>
    <xf numFmtId="37" fontId="22" fillId="0" borderId="0" xfId="0" applyNumberFormat="1" applyFont="1" applyAlignment="1">
      <alignment horizontal="center" vertical="center"/>
    </xf>
    <xf numFmtId="37" fontId="30" fillId="0" borderId="0" xfId="0" applyNumberFormat="1" applyFont="1" applyAlignment="1">
      <alignment horizontal="right" vertical="center"/>
    </xf>
    <xf numFmtId="37" fontId="30" fillId="0" borderId="0" xfId="0" applyNumberFormat="1" applyFont="1" applyAlignment="1">
      <alignment horizontal="left"/>
    </xf>
    <xf numFmtId="37" fontId="30" fillId="0" borderId="0" xfId="0" applyNumberFormat="1" applyFont="1" applyAlignment="1">
      <alignment horizontal="center" vertical="center"/>
    </xf>
    <xf numFmtId="37" fontId="30" fillId="0" borderId="0" xfId="0" applyNumberFormat="1" applyFont="1" applyAlignment="1">
      <alignment horizontal="left" vertical="center"/>
    </xf>
    <xf numFmtId="37" fontId="34" fillId="0" borderId="0" xfId="0" applyNumberFormat="1" applyFont="1" applyAlignment="1">
      <alignment horizontal="left"/>
    </xf>
    <xf numFmtId="37" fontId="31" fillId="0" borderId="0" xfId="0" applyNumberFormat="1" applyFont="1" applyAlignment="1">
      <alignment horizontal="right" vertical="center"/>
    </xf>
    <xf numFmtId="37" fontId="11" fillId="0" borderId="0" xfId="0" applyNumberFormat="1" applyFont="1" applyAlignment="1">
      <alignment horizontal="right" vertical="center" readingOrder="2"/>
    </xf>
    <xf numFmtId="37" fontId="9" fillId="0" borderId="0" xfId="0" applyNumberFormat="1" applyFont="1" applyAlignment="1">
      <alignment horizontal="left"/>
    </xf>
    <xf numFmtId="37" fontId="9" fillId="0" borderId="3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left"/>
    </xf>
    <xf numFmtId="37" fontId="14" fillId="0" borderId="0" xfId="0" applyNumberFormat="1" applyFont="1" applyAlignment="1">
      <alignment horizontal="right" vertical="center"/>
    </xf>
    <xf numFmtId="37" fontId="14" fillId="0" borderId="0" xfId="0" applyNumberFormat="1" applyFont="1" applyAlignment="1">
      <alignment horizontal="left"/>
    </xf>
    <xf numFmtId="37" fontId="18" fillId="0" borderId="0" xfId="0" applyNumberFormat="1" applyFont="1" applyAlignment="1">
      <alignment horizontal="center"/>
    </xf>
    <xf numFmtId="37" fontId="9" fillId="0" borderId="3" xfId="0" applyNumberFormat="1" applyFont="1" applyBorder="1" applyAlignment="1">
      <alignment horizontal="center" vertical="center" wrapText="1"/>
    </xf>
    <xf numFmtId="37" fontId="15" fillId="0" borderId="0" xfId="0" applyNumberFormat="1" applyFont="1" applyAlignment="1">
      <alignment horizontal="center" vertical="center"/>
    </xf>
    <xf numFmtId="37" fontId="20" fillId="0" borderId="0" xfId="0" applyNumberFormat="1" applyFont="1" applyAlignment="1">
      <alignment horizontal="left"/>
    </xf>
    <xf numFmtId="37" fontId="11" fillId="0" borderId="0" xfId="0" applyNumberFormat="1" applyFont="1" applyAlignment="1">
      <alignment horizontal="right" vertical="center"/>
    </xf>
    <xf numFmtId="37" fontId="28" fillId="0" borderId="0" xfId="0" applyNumberFormat="1" applyFont="1" applyAlignment="1">
      <alignment horizontal="right" vertical="center"/>
    </xf>
    <xf numFmtId="37" fontId="28" fillId="0" borderId="0" xfId="0" applyNumberFormat="1" applyFont="1" applyAlignment="1">
      <alignment horizontal="left"/>
    </xf>
    <xf numFmtId="37" fontId="28" fillId="0" borderId="0" xfId="0" applyNumberFormat="1" applyFont="1" applyAlignment="1">
      <alignment horizontal="center" vertical="center"/>
    </xf>
    <xf numFmtId="37" fontId="29" fillId="0" borderId="0" xfId="0" applyNumberFormat="1" applyFont="1" applyAlignment="1">
      <alignment horizontal="right" vertical="center"/>
    </xf>
    <xf numFmtId="37" fontId="8" fillId="0" borderId="3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left" vertical="center"/>
    </xf>
    <xf numFmtId="37" fontId="8" fillId="0" borderId="3" xfId="0" applyNumberFormat="1" applyFont="1" applyBorder="1" applyAlignment="1">
      <alignment horizontal="center" vertical="center" wrapText="1"/>
    </xf>
    <xf numFmtId="37" fontId="8" fillId="0" borderId="0" xfId="0" applyNumberFormat="1" applyFont="1" applyAlignment="1">
      <alignment horizontal="center" vertical="center" wrapText="1"/>
    </xf>
    <xf numFmtId="37" fontId="14" fillId="0" borderId="0" xfId="0" applyNumberFormat="1" applyFont="1" applyAlignment="1">
      <alignment horizontal="center" vertical="center" wrapText="1"/>
    </xf>
    <xf numFmtId="37" fontId="32" fillId="0" borderId="0" xfId="0" applyNumberFormat="1" applyFont="1" applyAlignment="1">
      <alignment horizontal="center" vertical="center"/>
    </xf>
    <xf numFmtId="37" fontId="26" fillId="0" borderId="8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/>
    </xf>
    <xf numFmtId="0" fontId="17" fillId="0" borderId="0" xfId="0" applyFont="1" applyAlignment="1">
      <alignment horizontal="right" vertical="center" readingOrder="2"/>
    </xf>
    <xf numFmtId="0" fontId="9" fillId="0" borderId="0" xfId="0" applyFont="1" applyAlignment="1">
      <alignment vertical="center"/>
    </xf>
    <xf numFmtId="17" fontId="18" fillId="0" borderId="0" xfId="0" quotePrefix="1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3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38" fontId="18" fillId="0" borderId="0" xfId="0" applyNumberFormat="1" applyFont="1" applyAlignment="1">
      <alignment horizontal="center" vertical="center"/>
    </xf>
    <xf numFmtId="40" fontId="18" fillId="0" borderId="0" xfId="0" applyNumberFormat="1" applyFont="1" applyAlignment="1">
      <alignment horizontal="center" vertical="center"/>
    </xf>
    <xf numFmtId="38" fontId="28" fillId="0" borderId="0" xfId="0" applyNumberFormat="1" applyFont="1" applyAlignment="1">
      <alignment horizontal="center" vertical="center"/>
    </xf>
    <xf numFmtId="38" fontId="30" fillId="0" borderId="0" xfId="0" applyNumberFormat="1" applyFont="1" applyAlignment="1">
      <alignment horizontal="center" vertical="center"/>
    </xf>
    <xf numFmtId="38" fontId="31" fillId="0" borderId="0" xfId="0" applyNumberFormat="1" applyFont="1" applyAlignment="1">
      <alignment horizontal="center" vertical="center"/>
    </xf>
    <xf numFmtId="38" fontId="30" fillId="0" borderId="6" xfId="0" applyNumberFormat="1" applyFont="1" applyBorder="1" applyAlignment="1">
      <alignment horizontal="center" vertical="center"/>
    </xf>
    <xf numFmtId="39" fontId="16" fillId="0" borderId="0" xfId="0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/>
    </xf>
    <xf numFmtId="40" fontId="16" fillId="0" borderId="10" xfId="0" applyNumberFormat="1" applyFont="1" applyBorder="1" applyAlignment="1">
      <alignment horizontal="right" vertical="center"/>
    </xf>
    <xf numFmtId="38" fontId="12" fillId="0" borderId="0" xfId="0" applyNumberFormat="1" applyFont="1" applyAlignment="1">
      <alignment horizontal="right" vertical="center"/>
    </xf>
    <xf numFmtId="3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4" fontId="16" fillId="0" borderId="0" xfId="0" applyNumberFormat="1" applyFont="1" applyAlignment="1">
      <alignment horizontal="right" vertical="center"/>
    </xf>
    <xf numFmtId="38" fontId="8" fillId="0" borderId="5" xfId="0" applyNumberFormat="1" applyFont="1" applyBorder="1" applyAlignment="1">
      <alignment horizontal="right" vertical="center"/>
    </xf>
    <xf numFmtId="38" fontId="19" fillId="0" borderId="0" xfId="0" applyNumberFormat="1" applyFont="1" applyAlignment="1">
      <alignment horizontal="right" vertical="center"/>
    </xf>
    <xf numFmtId="37" fontId="8" fillId="0" borderId="5" xfId="0" applyNumberFormat="1" applyFont="1" applyBorder="1" applyAlignment="1">
      <alignment horizontal="right" vertical="center"/>
    </xf>
    <xf numFmtId="37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4" fontId="8" fillId="0" borderId="5" xfId="0" applyNumberFormat="1" applyFont="1" applyBorder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38" fontId="8" fillId="0" borderId="10" xfId="0" applyNumberFormat="1" applyFont="1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38" fontId="18" fillId="0" borderId="8" xfId="0" applyNumberFormat="1" applyFont="1" applyBorder="1" applyAlignment="1">
      <alignment horizontal="right" vertical="center"/>
    </xf>
    <xf numFmtId="38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4" fontId="18" fillId="0" borderId="8" xfId="0" applyNumberFormat="1" applyFont="1" applyBorder="1" applyAlignment="1">
      <alignment horizontal="right" vertical="center"/>
    </xf>
    <xf numFmtId="38" fontId="18" fillId="0" borderId="4" xfId="0" applyNumberFormat="1" applyFont="1" applyBorder="1" applyAlignment="1">
      <alignment horizontal="right" vertical="center"/>
    </xf>
    <xf numFmtId="4" fontId="18" fillId="0" borderId="4" xfId="0" applyNumberFormat="1" applyFont="1" applyBorder="1" applyAlignment="1">
      <alignment horizontal="right" vertical="center"/>
    </xf>
    <xf numFmtId="38" fontId="16" fillId="0" borderId="1" xfId="0" applyNumberFormat="1" applyFont="1" applyBorder="1" applyAlignment="1">
      <alignment horizontal="right" vertical="center"/>
    </xf>
    <xf numFmtId="40" fontId="16" fillId="0" borderId="1" xfId="0" applyNumberFormat="1" applyFont="1" applyBorder="1" applyAlignment="1">
      <alignment horizontal="right" vertical="center"/>
    </xf>
    <xf numFmtId="40" fontId="16" fillId="0" borderId="0" xfId="0" applyNumberFormat="1" applyFont="1" applyAlignment="1">
      <alignment horizontal="right" vertical="center"/>
    </xf>
    <xf numFmtId="38" fontId="16" fillId="0" borderId="3" xfId="0" applyNumberFormat="1" applyFont="1" applyBorder="1" applyAlignment="1">
      <alignment horizontal="right" vertical="center"/>
    </xf>
    <xf numFmtId="38" fontId="8" fillId="0" borderId="4" xfId="0" applyNumberFormat="1" applyFont="1" applyBorder="1" applyAlignment="1">
      <alignment horizontal="right" vertical="center"/>
    </xf>
    <xf numFmtId="40" fontId="16" fillId="0" borderId="3" xfId="0" applyNumberFormat="1" applyFont="1" applyBorder="1" applyAlignment="1">
      <alignment horizontal="right" vertical="center"/>
    </xf>
    <xf numFmtId="40" fontId="8" fillId="0" borderId="4" xfId="0" applyNumberFormat="1" applyFont="1" applyBorder="1" applyAlignment="1">
      <alignment horizontal="right" vertical="center"/>
    </xf>
    <xf numFmtId="39" fontId="16" fillId="0" borderId="10" xfId="0" applyNumberFormat="1" applyFont="1" applyBorder="1" applyAlignment="1">
      <alignment horizontal="right" vertical="center"/>
    </xf>
    <xf numFmtId="38" fontId="16" fillId="0" borderId="0" xfId="0" applyNumberFormat="1" applyFont="1" applyAlignment="1">
      <alignment horizontal="right"/>
    </xf>
    <xf numFmtId="40" fontId="8" fillId="0" borderId="5" xfId="0" applyNumberFormat="1" applyFont="1" applyBorder="1" applyAlignment="1">
      <alignment horizontal="right" vertical="center"/>
    </xf>
    <xf numFmtId="38" fontId="8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vertical="center"/>
    </xf>
    <xf numFmtId="3" fontId="16" fillId="0" borderId="3" xfId="0" applyNumberFormat="1" applyFont="1" applyBorder="1" applyAlignment="1">
      <alignment horizontal="right" vertical="center"/>
    </xf>
    <xf numFmtId="4" fontId="16" fillId="0" borderId="3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/>
    </xf>
    <xf numFmtId="38" fontId="16" fillId="0" borderId="6" xfId="0" applyNumberFormat="1" applyFont="1" applyBorder="1" applyAlignment="1">
      <alignment horizontal="right" vertical="center"/>
    </xf>
    <xf numFmtId="38" fontId="30" fillId="0" borderId="8" xfId="0" applyNumberFormat="1" applyFont="1" applyBorder="1" applyAlignment="1">
      <alignment horizontal="right" vertical="center"/>
    </xf>
    <xf numFmtId="38" fontId="30" fillId="0" borderId="0" xfId="0" applyNumberFormat="1" applyFont="1" applyAlignment="1">
      <alignment horizontal="right" vertical="center"/>
    </xf>
    <xf numFmtId="38" fontId="30" fillId="0" borderId="6" xfId="0" applyNumberFormat="1" applyFont="1" applyBorder="1" applyAlignment="1">
      <alignment horizontal="right" vertical="center"/>
    </xf>
    <xf numFmtId="38" fontId="31" fillId="0" borderId="5" xfId="0" applyNumberFormat="1" applyFont="1" applyBorder="1" applyAlignment="1">
      <alignment horizontal="right" vertical="center"/>
    </xf>
    <xf numFmtId="38" fontId="31" fillId="0" borderId="0" xfId="0" applyNumberFormat="1" applyFont="1" applyAlignment="1">
      <alignment horizontal="right" vertical="center"/>
    </xf>
    <xf numFmtId="38" fontId="32" fillId="0" borderId="0" xfId="0" applyNumberFormat="1" applyFont="1" applyAlignment="1">
      <alignment horizontal="right" vertical="center"/>
    </xf>
    <xf numFmtId="38" fontId="33" fillId="0" borderId="5" xfId="0" applyNumberFormat="1" applyFont="1" applyBorder="1" applyAlignment="1">
      <alignment horizontal="right" vertical="center"/>
    </xf>
    <xf numFmtId="38" fontId="30" fillId="0" borderId="1" xfId="0" applyNumberFormat="1" applyFont="1" applyBorder="1" applyAlignment="1">
      <alignment horizontal="right" vertical="center"/>
    </xf>
    <xf numFmtId="38" fontId="30" fillId="0" borderId="3" xfId="0" applyNumberFormat="1" applyFont="1" applyBorder="1" applyAlignment="1">
      <alignment horizontal="right" vertical="center"/>
    </xf>
    <xf numFmtId="38" fontId="28" fillId="0" borderId="0" xfId="0" applyNumberFormat="1" applyFont="1" applyAlignment="1">
      <alignment horizontal="right" vertical="center"/>
    </xf>
    <xf numFmtId="38" fontId="29" fillId="0" borderId="0" xfId="0" applyNumberFormat="1" applyFont="1" applyAlignment="1">
      <alignment horizontal="right" vertical="center"/>
    </xf>
    <xf numFmtId="38" fontId="29" fillId="0" borderId="5" xfId="0" applyNumberFormat="1" applyFont="1" applyBorder="1" applyAlignment="1">
      <alignment horizontal="right" vertical="center"/>
    </xf>
    <xf numFmtId="38" fontId="28" fillId="0" borderId="3" xfId="0" applyNumberFormat="1" applyFont="1" applyBorder="1" applyAlignment="1">
      <alignment horizontal="right" vertical="center"/>
    </xf>
    <xf numFmtId="38" fontId="31" fillId="0" borderId="7" xfId="0" applyNumberFormat="1" applyFont="1" applyBorder="1" applyAlignment="1">
      <alignment horizontal="right" vertical="center"/>
    </xf>
    <xf numFmtId="38" fontId="14" fillId="0" borderId="0" xfId="0" applyNumberFormat="1" applyFont="1" applyAlignment="1">
      <alignment horizontal="right" vertical="center" wrapText="1"/>
    </xf>
    <xf numFmtId="38" fontId="14" fillId="0" borderId="0" xfId="0" applyNumberFormat="1" applyFont="1" applyAlignment="1">
      <alignment horizontal="right"/>
    </xf>
    <xf numFmtId="38" fontId="14" fillId="0" borderId="5" xfId="0" applyNumberFormat="1" applyFont="1" applyBorder="1" applyAlignment="1">
      <alignment horizontal="right" vertical="center"/>
    </xf>
    <xf numFmtId="38" fontId="16" fillId="0" borderId="10" xfId="0" applyNumberFormat="1" applyFont="1" applyBorder="1" applyAlignment="1">
      <alignment horizontal="right" vertical="center"/>
    </xf>
    <xf numFmtId="37" fontId="21" fillId="0" borderId="0" xfId="1" applyNumberFormat="1" applyFont="1" applyAlignment="1">
      <alignment horizontal="center" vertical="center"/>
    </xf>
    <xf numFmtId="0" fontId="7" fillId="0" borderId="0" xfId="1" applyFont="1"/>
    <xf numFmtId="0" fontId="2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readingOrder="2"/>
    </xf>
    <xf numFmtId="0" fontId="11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center" vertical="center"/>
    </xf>
    <xf numFmtId="37" fontId="9" fillId="0" borderId="0" xfId="0" applyNumberFormat="1" applyFont="1" applyAlignment="1">
      <alignment horizontal="center" vertical="center"/>
    </xf>
    <xf numFmtId="37" fontId="9" fillId="0" borderId="3" xfId="0" applyNumberFormat="1" applyFont="1" applyBorder="1" applyAlignment="1">
      <alignment horizontal="center" vertical="center"/>
    </xf>
    <xf numFmtId="37" fontId="20" fillId="0" borderId="3" xfId="0" applyNumberFormat="1" applyFont="1" applyBorder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38" fontId="9" fillId="0" borderId="3" xfId="0" applyNumberFormat="1" applyFont="1" applyBorder="1" applyAlignment="1">
      <alignment horizontal="center" vertical="center"/>
    </xf>
    <xf numFmtId="37" fontId="9" fillId="0" borderId="0" xfId="0" applyNumberFormat="1" applyFont="1" applyAlignment="1">
      <alignment horizontal="center" vertical="center" wrapText="1"/>
    </xf>
    <xf numFmtId="37" fontId="9" fillId="0" borderId="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readingOrder="2"/>
    </xf>
    <xf numFmtId="37" fontId="9" fillId="0" borderId="6" xfId="0" applyNumberFormat="1" applyFont="1" applyBorder="1" applyAlignment="1">
      <alignment horizontal="center" vertical="center"/>
    </xf>
    <xf numFmtId="37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readingOrder="2"/>
    </xf>
    <xf numFmtId="38" fontId="20" fillId="0" borderId="0" xfId="0" applyNumberFormat="1" applyFont="1" applyAlignment="1">
      <alignment horizontal="left" vertical="center"/>
    </xf>
    <xf numFmtId="38" fontId="11" fillId="0" borderId="0" xfId="0" applyNumberFormat="1" applyFont="1" applyAlignment="1">
      <alignment horizontal="right" vertical="center" readingOrder="2"/>
    </xf>
    <xf numFmtId="38" fontId="20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left" vertical="center" readingOrder="2"/>
    </xf>
    <xf numFmtId="38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38" fontId="9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37" fontId="26" fillId="0" borderId="2" xfId="0" applyNumberFormat="1" applyFont="1" applyBorder="1" applyAlignment="1">
      <alignment horizontal="center" vertical="center"/>
    </xf>
    <xf numFmtId="37" fontId="26" fillId="0" borderId="3" xfId="0" applyNumberFormat="1" applyFont="1" applyBorder="1" applyAlignment="1">
      <alignment horizontal="center" vertical="center"/>
    </xf>
    <xf numFmtId="37" fontId="25" fillId="0" borderId="0" xfId="0" applyNumberFormat="1" applyFont="1" applyAlignment="1">
      <alignment horizontal="right" vertical="center" readingOrder="2"/>
    </xf>
    <xf numFmtId="37" fontId="25" fillId="0" borderId="0" xfId="0" applyNumberFormat="1" applyFont="1" applyAlignment="1">
      <alignment horizontal="left" vertical="center"/>
    </xf>
    <xf numFmtId="37" fontId="26" fillId="0" borderId="0" xfId="0" applyNumberFormat="1" applyFont="1" applyAlignment="1">
      <alignment horizontal="center" vertical="center"/>
    </xf>
    <xf numFmtId="37" fontId="8" fillId="0" borderId="3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center" vertical="center"/>
    </xf>
    <xf numFmtId="37" fontId="11" fillId="0" borderId="0" xfId="0" applyNumberFormat="1" applyFont="1" applyAlignment="1">
      <alignment horizontal="right" vertical="center" readingOrder="2"/>
    </xf>
    <xf numFmtId="37" fontId="9" fillId="0" borderId="0" xfId="0" applyNumberFormat="1" applyFont="1" applyAlignment="1">
      <alignment horizontal="left" vertical="center"/>
    </xf>
    <xf numFmtId="38" fontId="8" fillId="0" borderId="10" xfId="0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2" xr:uid="{D60D5D5C-2B11-4789-A00F-1D26DB176193}"/>
    <cellStyle name="Normal 2 2" xfId="1" xr:uid="{EBA9E39E-A25F-4978-A860-5700E7078DB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4</xdr:col>
      <xdr:colOff>590550</xdr:colOff>
      <xdr:row>7</xdr:row>
      <xdr:rowOff>0</xdr:rowOff>
    </xdr:to>
    <xdr:pic>
      <xdr:nvPicPr>
        <xdr:cNvPr id="4" name="Picture 3" descr="Picture">
          <a:extLst>
            <a:ext uri="{FF2B5EF4-FFF2-40B4-BE49-F238E27FC236}">
              <a16:creationId xmlns:a16="http://schemas.microsoft.com/office/drawing/2014/main" id="{819BFDCE-F977-4995-AEE3-D2D7AE92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771750" y="1190625"/>
          <a:ext cx="1266825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660400</xdr:colOff>
      <xdr:row>1</xdr:row>
      <xdr:rowOff>228600</xdr:rowOff>
    </xdr:from>
    <xdr:to>
      <xdr:col>6</xdr:col>
      <xdr:colOff>561975</xdr:colOff>
      <xdr:row>14</xdr:row>
      <xdr:rowOff>263525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C7B36C-0E1C-4EC4-9B0B-B7AB033F930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543025" y="466725"/>
          <a:ext cx="3892550" cy="378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7E85-0654-4B6E-92BA-CCB5DD1960B2}">
  <sheetPr>
    <pageSetUpPr fitToPage="1"/>
  </sheetPr>
  <dimension ref="A11:Q21"/>
  <sheetViews>
    <sheetView rightToLeft="1" view="pageBreakPreview" topLeftCell="A10" zoomScaleNormal="100" zoomScaleSheetLayoutView="100" workbookViewId="0">
      <selection activeCell="U32" sqref="U32"/>
    </sheetView>
  </sheetViews>
  <sheetFormatPr defaultColWidth="9.140625" defaultRowHeight="18.75" x14ac:dyDescent="0.45"/>
  <cols>
    <col min="1" max="1" width="11.28515625" style="3" customWidth="1"/>
    <col min="2" max="2" width="10.42578125" style="3" customWidth="1"/>
    <col min="3" max="3" width="9.140625" style="3"/>
    <col min="4" max="4" width="10.140625" style="3" customWidth="1"/>
    <col min="5" max="5" width="9.140625" style="3"/>
    <col min="6" max="6" width="9.7109375" style="3" customWidth="1"/>
    <col min="7" max="7" width="10.28515625" style="3" customWidth="1"/>
    <col min="8" max="16384" width="9.140625" style="3"/>
  </cols>
  <sheetData>
    <row r="11" spans="17:17" ht="36" customHeight="1" x14ac:dyDescent="0.45"/>
    <row r="12" spans="17:17" ht="30" customHeight="1" x14ac:dyDescent="0.45"/>
    <row r="13" spans="17:17" ht="28.5" customHeight="1" x14ac:dyDescent="0.45"/>
    <row r="14" spans="17:17" ht="32.25" customHeight="1" x14ac:dyDescent="0.45">
      <c r="Q14" s="2"/>
    </row>
    <row r="15" spans="17:17" ht="27.75" customHeight="1" x14ac:dyDescent="0.45"/>
    <row r="16" spans="17:17" ht="32.25" customHeight="1" x14ac:dyDescent="0.45"/>
    <row r="17" spans="1:9" ht="27.75" customHeight="1" x14ac:dyDescent="0.45"/>
    <row r="18" spans="1:9" ht="47.25" customHeight="1" x14ac:dyDescent="0.6">
      <c r="A18" s="184" t="s">
        <v>99</v>
      </c>
      <c r="B18" s="185"/>
      <c r="C18" s="185"/>
      <c r="D18" s="185"/>
      <c r="E18" s="185"/>
      <c r="F18" s="185"/>
      <c r="G18" s="185"/>
      <c r="H18" s="185"/>
      <c r="I18" s="185"/>
    </row>
    <row r="19" spans="1:9" ht="47.25" customHeight="1" x14ac:dyDescent="0.6">
      <c r="A19" s="184" t="s">
        <v>100</v>
      </c>
      <c r="B19" s="185"/>
      <c r="C19" s="185"/>
      <c r="D19" s="185"/>
      <c r="E19" s="185"/>
      <c r="F19" s="185"/>
      <c r="G19" s="185"/>
      <c r="H19" s="185"/>
      <c r="I19" s="185"/>
    </row>
    <row r="20" spans="1:9" ht="47.25" customHeight="1" x14ac:dyDescent="0.6">
      <c r="A20" s="184" t="s">
        <v>101</v>
      </c>
      <c r="B20" s="185"/>
      <c r="C20" s="185"/>
      <c r="D20" s="185"/>
      <c r="E20" s="185"/>
      <c r="F20" s="185"/>
      <c r="G20" s="185"/>
      <c r="H20" s="185"/>
      <c r="I20" s="185"/>
    </row>
    <row r="21" spans="1:9" ht="47.25" customHeight="1" x14ac:dyDescent="0.6">
      <c r="A21" s="184" t="s">
        <v>186</v>
      </c>
      <c r="B21" s="185"/>
      <c r="C21" s="185"/>
      <c r="D21" s="185"/>
      <c r="E21" s="185"/>
      <c r="F21" s="185"/>
      <c r="G21" s="185"/>
      <c r="H21" s="185"/>
      <c r="I21" s="185"/>
    </row>
  </sheetData>
  <mergeCells count="4">
    <mergeCell ref="A18:I18"/>
    <mergeCell ref="A19:I19"/>
    <mergeCell ref="A20:I20"/>
    <mergeCell ref="A21:I21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5"/>
  <sheetViews>
    <sheetView rightToLeft="1" view="pageBreakPreview" topLeftCell="A13" zoomScale="71" zoomScaleNormal="100" zoomScaleSheetLayoutView="71" workbookViewId="0">
      <selection activeCell="S79" sqref="S79"/>
    </sheetView>
  </sheetViews>
  <sheetFormatPr defaultRowHeight="12.75" x14ac:dyDescent="0.2"/>
  <cols>
    <col min="1" max="1" width="33.85546875" bestFit="1" customWidth="1"/>
    <col min="2" max="2" width="1.28515625" customWidth="1"/>
    <col min="3" max="3" width="22" customWidth="1"/>
    <col min="4" max="4" width="1.42578125" customWidth="1"/>
    <col min="5" max="5" width="28" bestFit="1" customWidth="1"/>
    <col min="6" max="6" width="1.42578125" customWidth="1"/>
    <col min="7" max="7" width="27.28515625" bestFit="1" customWidth="1"/>
    <col min="8" max="8" width="1.42578125" customWidth="1"/>
    <col min="9" max="9" width="20.42578125" customWidth="1"/>
    <col min="10" max="10" width="1.42578125" customWidth="1"/>
    <col min="11" max="11" width="24.7109375" bestFit="1" customWidth="1"/>
    <col min="12" max="12" width="1.42578125" customWidth="1"/>
    <col min="13" max="13" width="22.28515625" bestFit="1" customWidth="1"/>
    <col min="14" max="14" width="1.42578125" customWidth="1"/>
    <col min="15" max="15" width="29" bestFit="1" customWidth="1"/>
    <col min="16" max="16" width="1.42578125" customWidth="1"/>
    <col min="17" max="17" width="23.42578125" customWidth="1"/>
    <col min="18" max="18" width="1.42578125" customWidth="1"/>
    <col min="19" max="19" width="25" customWidth="1"/>
    <col min="20" max="20" width="1.42578125" customWidth="1"/>
    <col min="21" max="21" width="27.28515625" bestFit="1" customWidth="1"/>
    <col min="22" max="22" width="1.42578125" customWidth="1"/>
    <col min="23" max="23" width="27.28515625" bestFit="1" customWidth="1"/>
    <col min="24" max="24" width="1.42578125" customWidth="1"/>
    <col min="25" max="25" width="28.42578125" customWidth="1"/>
    <col min="26" max="26" width="1.42578125" customWidth="1"/>
    <col min="27" max="27" width="22.7109375" hidden="1" customWidth="1"/>
    <col min="28" max="28" width="18.85546875" bestFit="1" customWidth="1"/>
  </cols>
  <sheetData>
    <row r="1" spans="1:28" ht="40.5" customHeight="1" x14ac:dyDescent="0.2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</row>
    <row r="2" spans="1:28" ht="40.5" customHeight="1" x14ac:dyDescent="0.2">
      <c r="A2" s="193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</row>
    <row r="3" spans="1:28" ht="40.5" customHeight="1" x14ac:dyDescent="0.2">
      <c r="A3" s="193" t="s">
        <v>187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28" ht="40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8" ht="40.5" customHeight="1" x14ac:dyDescent="0.2">
      <c r="A5" s="192" t="s">
        <v>156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</row>
    <row r="6" spans="1:28" ht="40.5" customHeight="1" x14ac:dyDescent="0.2">
      <c r="A6" s="192" t="s">
        <v>157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</row>
    <row r="7" spans="1:28" ht="40.5" customHeight="1" x14ac:dyDescent="0.2">
      <c r="A7" s="11"/>
      <c r="B7" s="11"/>
      <c r="C7" s="191" t="s">
        <v>102</v>
      </c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</row>
    <row r="8" spans="1:28" ht="40.5" customHeight="1" thickBot="1" x14ac:dyDescent="0.4">
      <c r="C8" s="186" t="s">
        <v>183</v>
      </c>
      <c r="D8" s="186"/>
      <c r="E8" s="186"/>
      <c r="F8" s="186"/>
      <c r="G8" s="186"/>
      <c r="H8" s="62"/>
      <c r="I8" s="186" t="s">
        <v>2</v>
      </c>
      <c r="J8" s="186"/>
      <c r="K8" s="186"/>
      <c r="L8" s="186"/>
      <c r="M8" s="186"/>
      <c r="N8" s="186"/>
      <c r="O8" s="186"/>
      <c r="P8" s="62"/>
      <c r="Q8" s="186" t="s">
        <v>188</v>
      </c>
      <c r="R8" s="186"/>
      <c r="S8" s="186"/>
      <c r="T8" s="186"/>
      <c r="U8" s="186"/>
      <c r="V8" s="186"/>
      <c r="W8" s="186"/>
      <c r="X8" s="186"/>
      <c r="Y8" s="186"/>
    </row>
    <row r="9" spans="1:28" ht="40.5" customHeight="1" thickBot="1" x14ac:dyDescent="0.4">
      <c r="A9" s="187" t="s">
        <v>5</v>
      </c>
      <c r="B9" s="6"/>
      <c r="C9" s="187" t="s">
        <v>6</v>
      </c>
      <c r="D9" s="6"/>
      <c r="E9" s="187" t="s">
        <v>7</v>
      </c>
      <c r="F9" s="6"/>
      <c r="G9" s="187" t="s">
        <v>8</v>
      </c>
      <c r="H9" s="6"/>
      <c r="I9" s="188" t="s">
        <v>3</v>
      </c>
      <c r="J9" s="188"/>
      <c r="K9" s="188"/>
      <c r="L9" s="6"/>
      <c r="M9" s="188" t="s">
        <v>4</v>
      </c>
      <c r="N9" s="188"/>
      <c r="O9" s="188"/>
      <c r="P9" s="6"/>
      <c r="Q9" s="187" t="s">
        <v>6</v>
      </c>
      <c r="R9" s="6"/>
      <c r="S9" s="189" t="s">
        <v>10</v>
      </c>
      <c r="T9" s="6"/>
      <c r="U9" s="187" t="s">
        <v>7</v>
      </c>
      <c r="V9" s="6"/>
      <c r="W9" s="189" t="s">
        <v>8</v>
      </c>
      <c r="X9" s="6"/>
      <c r="Y9" s="189" t="s">
        <v>11</v>
      </c>
    </row>
    <row r="10" spans="1:28" ht="40.5" customHeight="1" thickBot="1" x14ac:dyDescent="0.4">
      <c r="A10" s="188"/>
      <c r="B10" s="6"/>
      <c r="C10" s="188"/>
      <c r="D10" s="6"/>
      <c r="E10" s="188"/>
      <c r="F10" s="6"/>
      <c r="G10" s="188"/>
      <c r="H10" s="6"/>
      <c r="I10" s="41" t="s">
        <v>6</v>
      </c>
      <c r="J10" s="6"/>
      <c r="K10" s="41" t="s">
        <v>7</v>
      </c>
      <c r="L10" s="6"/>
      <c r="M10" s="41" t="s">
        <v>6</v>
      </c>
      <c r="N10" s="6"/>
      <c r="O10" s="41" t="s">
        <v>9</v>
      </c>
      <c r="P10" s="6"/>
      <c r="Q10" s="188"/>
      <c r="R10" s="6"/>
      <c r="S10" s="190"/>
      <c r="T10" s="6"/>
      <c r="U10" s="188"/>
      <c r="V10" s="6"/>
      <c r="W10" s="190"/>
      <c r="X10" s="6"/>
      <c r="Y10" s="190"/>
      <c r="AA10" s="64">
        <v>45277725963643</v>
      </c>
    </row>
    <row r="11" spans="1:28" ht="40.5" customHeight="1" x14ac:dyDescent="0.2">
      <c r="A11" s="34" t="s">
        <v>12</v>
      </c>
      <c r="B11" s="63"/>
      <c r="C11" s="37">
        <v>486570234</v>
      </c>
      <c r="D11" s="128"/>
      <c r="E11" s="37">
        <v>1367029073390</v>
      </c>
      <c r="F11" s="128"/>
      <c r="G11" s="37">
        <v>1153267445155</v>
      </c>
      <c r="H11" s="128"/>
      <c r="I11" s="37">
        <v>64774472</v>
      </c>
      <c r="J11" s="128"/>
      <c r="K11" s="37">
        <v>162770494895</v>
      </c>
      <c r="L11" s="128"/>
      <c r="M11" s="37">
        <v>-32100000</v>
      </c>
      <c r="N11" s="129"/>
      <c r="O11" s="37">
        <v>82366853761</v>
      </c>
      <c r="P11" s="128"/>
      <c r="Q11" s="37">
        <f>C11+I11+M11</f>
        <v>519244706</v>
      </c>
      <c r="R11" s="128"/>
      <c r="S11" s="37">
        <v>2781</v>
      </c>
      <c r="T11" s="128"/>
      <c r="U11" s="37">
        <v>1440500183031</v>
      </c>
      <c r="V11" s="128"/>
      <c r="W11" s="37">
        <v>1442922072545</v>
      </c>
      <c r="X11" s="130"/>
      <c r="Y11" s="131">
        <f>W11/57446223997977*100</f>
        <v>2.5117787943656893</v>
      </c>
      <c r="AA11" s="33">
        <f>C11+I11+M11-Q11</f>
        <v>0</v>
      </c>
      <c r="AB11" s="33"/>
    </row>
    <row r="12" spans="1:28" ht="40.5" customHeight="1" x14ac:dyDescent="0.2">
      <c r="A12" s="34" t="s">
        <v>13</v>
      </c>
      <c r="B12" s="63"/>
      <c r="C12" s="37">
        <v>25465134</v>
      </c>
      <c r="D12" s="128"/>
      <c r="E12" s="37">
        <v>874432258288</v>
      </c>
      <c r="F12" s="128"/>
      <c r="G12" s="37">
        <v>1432342984241</v>
      </c>
      <c r="H12" s="128"/>
      <c r="I12" s="37">
        <v>494556</v>
      </c>
      <c r="J12" s="128"/>
      <c r="K12" s="37">
        <v>29899540010</v>
      </c>
      <c r="L12" s="128"/>
      <c r="M12" s="37">
        <v>-400000</v>
      </c>
      <c r="N12" s="129"/>
      <c r="O12" s="37">
        <v>24486776101</v>
      </c>
      <c r="P12" s="128"/>
      <c r="Q12" s="37">
        <f t="shared" ref="Q12:Q24" si="0">C12+I12+M12</f>
        <v>25559690</v>
      </c>
      <c r="R12" s="128"/>
      <c r="S12" s="37">
        <v>64570</v>
      </c>
      <c r="T12" s="128"/>
      <c r="U12" s="37">
        <v>890497679446</v>
      </c>
      <c r="V12" s="128"/>
      <c r="W12" s="37">
        <v>1649134887520</v>
      </c>
      <c r="X12" s="130"/>
      <c r="Y12" s="131">
        <f t="shared" ref="Y12:Y24" si="1">W12/57446223997977*100</f>
        <v>2.8707454950878497</v>
      </c>
      <c r="AA12" s="33">
        <f t="shared" ref="AA12:AA24" si="2">C12+I12+M12-Q12</f>
        <v>0</v>
      </c>
      <c r="AB12" s="33"/>
    </row>
    <row r="13" spans="1:28" ht="40.5" customHeight="1" x14ac:dyDescent="0.2">
      <c r="A13" s="34" t="s">
        <v>14</v>
      </c>
      <c r="B13" s="63"/>
      <c r="C13" s="37">
        <v>11426300</v>
      </c>
      <c r="D13" s="128"/>
      <c r="E13" s="37">
        <v>130914915228</v>
      </c>
      <c r="F13" s="128"/>
      <c r="G13" s="37">
        <v>232234309684</v>
      </c>
      <c r="H13" s="128"/>
      <c r="I13" s="37">
        <v>150000</v>
      </c>
      <c r="J13" s="128"/>
      <c r="K13" s="37">
        <v>3048712966</v>
      </c>
      <c r="L13" s="128"/>
      <c r="M13" s="37">
        <v>-2051887</v>
      </c>
      <c r="N13" s="129"/>
      <c r="O13" s="37">
        <v>45448875355</v>
      </c>
      <c r="P13" s="128"/>
      <c r="Q13" s="37">
        <f t="shared" si="0"/>
        <v>9524413</v>
      </c>
      <c r="R13" s="128"/>
      <c r="S13" s="37">
        <v>22300</v>
      </c>
      <c r="T13" s="128"/>
      <c r="U13" s="37">
        <v>110235307442</v>
      </c>
      <c r="V13" s="128"/>
      <c r="W13" s="37">
        <v>212232990148</v>
      </c>
      <c r="X13" s="130"/>
      <c r="Y13" s="131">
        <f>W13/57446223997977*100</f>
        <v>0.36944637154127641</v>
      </c>
      <c r="AA13" s="33">
        <f t="shared" si="2"/>
        <v>0</v>
      </c>
      <c r="AB13" s="33"/>
    </row>
    <row r="14" spans="1:28" ht="40.5" customHeight="1" x14ac:dyDescent="0.2">
      <c r="A14" s="34" t="s">
        <v>15</v>
      </c>
      <c r="B14" s="63"/>
      <c r="C14" s="37">
        <v>177183622</v>
      </c>
      <c r="D14" s="128"/>
      <c r="E14" s="37">
        <v>1558187989783</v>
      </c>
      <c r="F14" s="128"/>
      <c r="G14" s="37">
        <v>3801241223743</v>
      </c>
      <c r="H14" s="128"/>
      <c r="I14" s="37">
        <v>2100000</v>
      </c>
      <c r="J14" s="128"/>
      <c r="K14" s="37">
        <v>49503933436</v>
      </c>
      <c r="L14" s="128"/>
      <c r="M14" s="37">
        <v>-14000000</v>
      </c>
      <c r="N14" s="129"/>
      <c r="O14" s="37">
        <v>378029798503</v>
      </c>
      <c r="P14" s="128"/>
      <c r="Q14" s="37">
        <f t="shared" si="0"/>
        <v>165283622</v>
      </c>
      <c r="R14" s="128"/>
      <c r="S14" s="37">
        <v>32180</v>
      </c>
      <c r="T14" s="128"/>
      <c r="U14" s="37">
        <v>1482686110154</v>
      </c>
      <c r="V14" s="128"/>
      <c r="W14" s="37">
        <v>5314784647473</v>
      </c>
      <c r="X14" s="130"/>
      <c r="Y14" s="131">
        <f t="shared" si="1"/>
        <v>9.2517562993525271</v>
      </c>
      <c r="AA14" s="33">
        <f t="shared" si="2"/>
        <v>0</v>
      </c>
      <c r="AB14" s="33"/>
    </row>
    <row r="15" spans="1:28" ht="40.5" customHeight="1" x14ac:dyDescent="0.2">
      <c r="A15" s="34" t="s">
        <v>16</v>
      </c>
      <c r="B15" s="63"/>
      <c r="C15" s="37">
        <v>2800000</v>
      </c>
      <c r="D15" s="128"/>
      <c r="E15" s="37">
        <v>49192620171</v>
      </c>
      <c r="F15" s="128"/>
      <c r="G15" s="37">
        <v>95155626720</v>
      </c>
      <c r="H15" s="128"/>
      <c r="I15" s="37">
        <v>0</v>
      </c>
      <c r="J15" s="128"/>
      <c r="K15" s="37">
        <v>0</v>
      </c>
      <c r="L15" s="128"/>
      <c r="M15" s="37">
        <v>0</v>
      </c>
      <c r="N15" s="129"/>
      <c r="O15" s="37">
        <v>0</v>
      </c>
      <c r="P15" s="128"/>
      <c r="Q15" s="37">
        <f t="shared" si="0"/>
        <v>2800000</v>
      </c>
      <c r="R15" s="128"/>
      <c r="S15" s="37">
        <v>20700</v>
      </c>
      <c r="T15" s="128"/>
      <c r="U15" s="37">
        <v>49192620171</v>
      </c>
      <c r="V15" s="128"/>
      <c r="W15" s="37">
        <v>57915950400</v>
      </c>
      <c r="X15" s="130"/>
      <c r="Y15" s="131">
        <f>W15/57446223997977*100</f>
        <v>0.10081768020477645</v>
      </c>
      <c r="AA15" s="33">
        <f t="shared" si="2"/>
        <v>0</v>
      </c>
      <c r="AB15" s="33"/>
    </row>
    <row r="16" spans="1:28" ht="40.5" customHeight="1" x14ac:dyDescent="0.2">
      <c r="A16" s="34" t="s">
        <v>17</v>
      </c>
      <c r="B16" s="63"/>
      <c r="C16" s="37">
        <v>114677397</v>
      </c>
      <c r="D16" s="128"/>
      <c r="E16" s="37">
        <v>680551094790</v>
      </c>
      <c r="F16" s="128"/>
      <c r="G16" s="37">
        <v>836508767901</v>
      </c>
      <c r="H16" s="128"/>
      <c r="I16" s="37">
        <v>1000000</v>
      </c>
      <c r="J16" s="128"/>
      <c r="K16" s="37">
        <v>10957954080</v>
      </c>
      <c r="L16" s="128"/>
      <c r="M16" s="37">
        <v>-55077397</v>
      </c>
      <c r="N16" s="129"/>
      <c r="O16" s="37">
        <v>517196219013</v>
      </c>
      <c r="P16" s="128"/>
      <c r="Q16" s="37">
        <f t="shared" si="0"/>
        <v>60600000</v>
      </c>
      <c r="R16" s="128"/>
      <c r="S16" s="37">
        <v>12140</v>
      </c>
      <c r="T16" s="128"/>
      <c r="U16" s="37">
        <v>363882737772</v>
      </c>
      <c r="V16" s="128"/>
      <c r="W16" s="37">
        <v>735124880160</v>
      </c>
      <c r="X16" s="130"/>
      <c r="Y16" s="131">
        <f t="shared" si="1"/>
        <v>1.2796748489263416</v>
      </c>
      <c r="AA16" s="33">
        <f t="shared" si="2"/>
        <v>0</v>
      </c>
      <c r="AB16" s="33"/>
    </row>
    <row r="17" spans="1:28" ht="40.5" customHeight="1" x14ac:dyDescent="0.2">
      <c r="A17" s="34" t="s">
        <v>18</v>
      </c>
      <c r="B17" s="63"/>
      <c r="C17" s="37">
        <v>485000000</v>
      </c>
      <c r="D17" s="128"/>
      <c r="E17" s="37">
        <v>304705461750</v>
      </c>
      <c r="F17" s="128"/>
      <c r="G17" s="37">
        <v>362988918600</v>
      </c>
      <c r="H17" s="128"/>
      <c r="I17" s="37">
        <v>257084349</v>
      </c>
      <c r="J17" s="128"/>
      <c r="K17" s="37">
        <v>220470453800</v>
      </c>
      <c r="L17" s="128"/>
      <c r="M17" s="37">
        <v>-207000000</v>
      </c>
      <c r="N17" s="129"/>
      <c r="O17" s="37">
        <v>171589493205</v>
      </c>
      <c r="P17" s="128"/>
      <c r="Q17" s="37">
        <f t="shared" si="0"/>
        <v>535084349</v>
      </c>
      <c r="R17" s="128"/>
      <c r="S17" s="37">
        <v>828</v>
      </c>
      <c r="T17" s="128"/>
      <c r="U17" s="37">
        <v>391337752986</v>
      </c>
      <c r="V17" s="128"/>
      <c r="W17" s="37">
        <v>442713123092</v>
      </c>
      <c r="X17" s="130"/>
      <c r="Y17" s="131">
        <f t="shared" si="1"/>
        <v>0.77065661114225781</v>
      </c>
      <c r="AA17" s="33">
        <f t="shared" si="2"/>
        <v>0</v>
      </c>
      <c r="AB17" s="33"/>
    </row>
    <row r="18" spans="1:28" ht="40.5" customHeight="1" x14ac:dyDescent="0.2">
      <c r="A18" s="34" t="s">
        <v>19</v>
      </c>
      <c r="B18" s="63"/>
      <c r="C18" s="37">
        <v>30718316</v>
      </c>
      <c r="D18" s="128"/>
      <c r="E18" s="37">
        <v>68605443020</v>
      </c>
      <c r="F18" s="128"/>
      <c r="G18" s="37">
        <v>54360792011</v>
      </c>
      <c r="H18" s="128"/>
      <c r="I18" s="37">
        <v>0</v>
      </c>
      <c r="J18" s="128"/>
      <c r="K18" s="37">
        <v>0</v>
      </c>
      <c r="L18" s="128"/>
      <c r="M18" s="37">
        <v>0</v>
      </c>
      <c r="N18" s="129"/>
      <c r="O18" s="37">
        <v>0</v>
      </c>
      <c r="P18" s="128"/>
      <c r="Q18" s="37">
        <f>C18+I18+M18</f>
        <v>30718316</v>
      </c>
      <c r="R18" s="128"/>
      <c r="S18" s="37">
        <v>1988</v>
      </c>
      <c r="T18" s="128"/>
      <c r="U18" s="37">
        <v>68605443020</v>
      </c>
      <c r="V18" s="128"/>
      <c r="W18" s="37">
        <v>61021600518</v>
      </c>
      <c r="X18" s="130"/>
      <c r="Y18" s="131">
        <f t="shared" si="1"/>
        <v>0.10622386689880418</v>
      </c>
      <c r="AA18" s="33">
        <f t="shared" si="2"/>
        <v>0</v>
      </c>
      <c r="AB18" s="33"/>
    </row>
    <row r="19" spans="1:28" ht="40.5" customHeight="1" x14ac:dyDescent="0.3">
      <c r="A19" s="34" t="s">
        <v>20</v>
      </c>
      <c r="B19" s="5"/>
      <c r="C19" s="37">
        <v>9521500</v>
      </c>
      <c r="D19" s="128"/>
      <c r="E19" s="37">
        <v>185411863180</v>
      </c>
      <c r="F19" s="128"/>
      <c r="G19" s="37">
        <v>245753430337</v>
      </c>
      <c r="H19" s="128"/>
      <c r="I19" s="37">
        <v>1309796</v>
      </c>
      <c r="J19" s="128"/>
      <c r="K19" s="37">
        <v>33735615100</v>
      </c>
      <c r="L19" s="128"/>
      <c r="M19" s="37">
        <v>-4470546</v>
      </c>
      <c r="N19" s="129"/>
      <c r="O19" s="37">
        <v>123253707293</v>
      </c>
      <c r="P19" s="128"/>
      <c r="Q19" s="37">
        <f t="shared" si="0"/>
        <v>6360750</v>
      </c>
      <c r="R19" s="128"/>
      <c r="S19" s="37">
        <v>29370</v>
      </c>
      <c r="T19" s="128"/>
      <c r="U19" s="37">
        <v>129550957364</v>
      </c>
      <c r="V19" s="128"/>
      <c r="W19" s="37">
        <v>186673247927</v>
      </c>
      <c r="X19" s="130"/>
      <c r="Y19" s="131">
        <f>W19/57446223997977*100</f>
        <v>0.32495303422131594</v>
      </c>
      <c r="AA19" s="33">
        <f t="shared" si="2"/>
        <v>0</v>
      </c>
      <c r="AB19" s="33"/>
    </row>
    <row r="20" spans="1:28" ht="40.5" customHeight="1" x14ac:dyDescent="0.3">
      <c r="A20" s="34" t="s">
        <v>21</v>
      </c>
      <c r="B20" s="5"/>
      <c r="C20" s="37">
        <v>1369244485</v>
      </c>
      <c r="D20" s="128"/>
      <c r="E20" s="37">
        <v>5148881741833</v>
      </c>
      <c r="F20" s="128"/>
      <c r="G20" s="37">
        <v>9303786242501</v>
      </c>
      <c r="H20" s="128"/>
      <c r="I20" s="37">
        <v>12000000</v>
      </c>
      <c r="J20" s="128"/>
      <c r="K20" s="37">
        <v>78738411825</v>
      </c>
      <c r="L20" s="128"/>
      <c r="M20" s="37">
        <v>-187017674</v>
      </c>
      <c r="N20" s="129"/>
      <c r="O20" s="37">
        <v>1632586679375</v>
      </c>
      <c r="P20" s="128"/>
      <c r="Q20" s="37">
        <f t="shared" si="0"/>
        <v>1194226811</v>
      </c>
      <c r="R20" s="128"/>
      <c r="S20" s="37">
        <v>10420</v>
      </c>
      <c r="T20" s="128"/>
      <c r="U20" s="37">
        <v>4519811092686</v>
      </c>
      <c r="V20" s="128"/>
      <c r="W20" s="37">
        <v>12434386049658</v>
      </c>
      <c r="X20" s="130"/>
      <c r="Y20" s="131">
        <f t="shared" si="1"/>
        <v>21.64526262003902</v>
      </c>
      <c r="AA20" s="33">
        <f t="shared" si="2"/>
        <v>0</v>
      </c>
      <c r="AB20" s="33"/>
    </row>
    <row r="21" spans="1:28" ht="40.5" customHeight="1" x14ac:dyDescent="0.2">
      <c r="A21" s="34" t="s">
        <v>24</v>
      </c>
      <c r="B21" s="63"/>
      <c r="C21" s="37">
        <v>1376128527</v>
      </c>
      <c r="D21" s="128"/>
      <c r="E21" s="37">
        <v>6167675029020</v>
      </c>
      <c r="F21" s="128"/>
      <c r="G21" s="37">
        <v>5225314143414</v>
      </c>
      <c r="H21" s="128"/>
      <c r="I21" s="37">
        <v>0</v>
      </c>
      <c r="J21" s="128"/>
      <c r="K21" s="37">
        <v>0</v>
      </c>
      <c r="L21" s="128"/>
      <c r="M21" s="37">
        <v>0</v>
      </c>
      <c r="N21" s="129"/>
      <c r="O21" s="37">
        <v>0</v>
      </c>
      <c r="P21" s="128"/>
      <c r="Q21" s="37">
        <f t="shared" si="0"/>
        <v>1376128527</v>
      </c>
      <c r="R21" s="128"/>
      <c r="S21" s="37">
        <v>4190</v>
      </c>
      <c r="T21" s="128"/>
      <c r="U21" s="37">
        <v>6167675029020</v>
      </c>
      <c r="V21" s="128"/>
      <c r="W21" s="37">
        <v>5761596384448</v>
      </c>
      <c r="X21" s="130"/>
      <c r="Y21" s="131">
        <f t="shared" si="1"/>
        <v>10.029547607255958</v>
      </c>
      <c r="AA21" s="33">
        <f t="shared" si="2"/>
        <v>0</v>
      </c>
      <c r="AB21" s="33"/>
    </row>
    <row r="22" spans="1:28" ht="40.5" customHeight="1" x14ac:dyDescent="0.2">
      <c r="A22" s="34" t="s">
        <v>25</v>
      </c>
      <c r="B22" s="63"/>
      <c r="C22" s="37">
        <v>99315298</v>
      </c>
      <c r="D22" s="128"/>
      <c r="E22" s="37">
        <v>1681152000096</v>
      </c>
      <c r="F22" s="128"/>
      <c r="G22" s="37">
        <v>2033423878473</v>
      </c>
      <c r="H22" s="128"/>
      <c r="I22" s="37">
        <v>67100000</v>
      </c>
      <c r="J22" s="128"/>
      <c r="K22" s="37">
        <v>1469489870048</v>
      </c>
      <c r="L22" s="128"/>
      <c r="M22" s="37">
        <v>-36415298</v>
      </c>
      <c r="N22" s="129"/>
      <c r="O22" s="37">
        <v>781837709783</v>
      </c>
      <c r="P22" s="128"/>
      <c r="Q22" s="37">
        <f t="shared" si="0"/>
        <v>130000000</v>
      </c>
      <c r="R22" s="128"/>
      <c r="S22" s="37">
        <v>20940</v>
      </c>
      <c r="T22" s="128"/>
      <c r="U22" s="37">
        <v>2522050632341</v>
      </c>
      <c r="V22" s="128"/>
      <c r="W22" s="37">
        <v>2720131128000</v>
      </c>
      <c r="X22" s="130"/>
      <c r="Y22" s="131">
        <f t="shared" si="1"/>
        <v>4.7350912535100491</v>
      </c>
      <c r="AA22" s="33">
        <f t="shared" si="2"/>
        <v>0</v>
      </c>
      <c r="AB22" s="33"/>
    </row>
    <row r="23" spans="1:28" ht="40.5" customHeight="1" x14ac:dyDescent="0.2">
      <c r="A23" s="34" t="s">
        <v>28</v>
      </c>
      <c r="B23" s="63"/>
      <c r="C23" s="37">
        <v>244377330</v>
      </c>
      <c r="D23" s="128"/>
      <c r="E23" s="37">
        <v>505514779734</v>
      </c>
      <c r="F23" s="128"/>
      <c r="G23" s="37">
        <v>698387985235</v>
      </c>
      <c r="H23" s="128"/>
      <c r="I23" s="37">
        <v>19372729</v>
      </c>
      <c r="J23" s="128"/>
      <c r="K23" s="37">
        <v>65113774143</v>
      </c>
      <c r="L23" s="128"/>
      <c r="M23" s="37">
        <v>-8500000</v>
      </c>
      <c r="N23" s="129"/>
      <c r="O23" s="37">
        <v>28174970936</v>
      </c>
      <c r="P23" s="128"/>
      <c r="Q23" s="37">
        <f t="shared" si="0"/>
        <v>255250059</v>
      </c>
      <c r="R23" s="128"/>
      <c r="S23" s="37">
        <v>3400</v>
      </c>
      <c r="T23" s="128"/>
      <c r="U23" s="37">
        <v>552712786819</v>
      </c>
      <c r="V23" s="128"/>
      <c r="W23" s="37">
        <v>867190634447</v>
      </c>
      <c r="X23" s="130"/>
      <c r="Y23" s="131">
        <f t="shared" si="1"/>
        <v>1.5095694270132334</v>
      </c>
      <c r="AA23" s="33">
        <f t="shared" si="2"/>
        <v>0</v>
      </c>
      <c r="AB23" s="33"/>
    </row>
    <row r="24" spans="1:28" ht="40.5" customHeight="1" thickBot="1" x14ac:dyDescent="0.25">
      <c r="A24" s="34" t="s">
        <v>137</v>
      </c>
      <c r="B24" s="63"/>
      <c r="C24" s="37">
        <v>3095906684</v>
      </c>
      <c r="D24" s="128"/>
      <c r="E24" s="37">
        <v>8177769679753</v>
      </c>
      <c r="F24" s="128"/>
      <c r="G24" s="37">
        <v>12188601951985</v>
      </c>
      <c r="H24" s="128"/>
      <c r="I24" s="37">
        <v>161342288</v>
      </c>
      <c r="J24" s="128"/>
      <c r="K24" s="37">
        <v>689798849200</v>
      </c>
      <c r="L24" s="128"/>
      <c r="M24" s="37">
        <v>-447877428</v>
      </c>
      <c r="N24" s="129"/>
      <c r="O24" s="37">
        <v>1940460985121</v>
      </c>
      <c r="P24" s="128"/>
      <c r="Q24" s="37">
        <f t="shared" si="0"/>
        <v>2809371544</v>
      </c>
      <c r="R24" s="128"/>
      <c r="S24" s="37">
        <v>4590</v>
      </c>
      <c r="T24" s="128"/>
      <c r="U24" s="37">
        <v>7674271604199</v>
      </c>
      <c r="V24" s="128"/>
      <c r="W24" s="37">
        <v>12885215175265</v>
      </c>
      <c r="X24" s="130"/>
      <c r="Y24" s="131">
        <f t="shared" si="1"/>
        <v>22.430047231161375</v>
      </c>
      <c r="AA24" s="33">
        <f t="shared" si="2"/>
        <v>0</v>
      </c>
      <c r="AB24" s="33"/>
    </row>
    <row r="25" spans="1:28" ht="40.5" customHeight="1" thickBot="1" x14ac:dyDescent="0.25">
      <c r="A25" s="34"/>
      <c r="B25" s="63"/>
      <c r="C25" s="132">
        <f>SUM(C11:C24)</f>
        <v>7528334827</v>
      </c>
      <c r="D25" s="133"/>
      <c r="E25" s="132">
        <f>SUM(E11:E24)</f>
        <v>26900023950036</v>
      </c>
      <c r="F25" s="133"/>
      <c r="G25" s="132">
        <f>SUM(G11:G24)</f>
        <v>37663367700000</v>
      </c>
      <c r="H25" s="133"/>
      <c r="I25" s="132">
        <f>SUM(I11:I24)</f>
        <v>586728190</v>
      </c>
      <c r="J25" s="133"/>
      <c r="K25" s="132">
        <f>SUM(K11:K24)</f>
        <v>2813527609503</v>
      </c>
      <c r="L25" s="133"/>
      <c r="M25" s="134">
        <f>SUM(M11:M24)</f>
        <v>-994910230</v>
      </c>
      <c r="N25" s="135"/>
      <c r="O25" s="134">
        <f>SUM(O11:O24)</f>
        <v>5725432068446</v>
      </c>
      <c r="P25" s="133"/>
      <c r="Q25" s="132">
        <f>SUM(Q11:Q24)</f>
        <v>7120152787</v>
      </c>
      <c r="R25" s="133"/>
      <c r="S25" s="53"/>
      <c r="T25" s="133"/>
      <c r="U25" s="132">
        <f>SUM(U11:U24)</f>
        <v>26363009936451</v>
      </c>
      <c r="V25" s="133"/>
      <c r="W25" s="132">
        <f>SUM(W11:W24)</f>
        <v>44771042771601</v>
      </c>
      <c r="X25" s="136"/>
      <c r="Y25" s="137">
        <f>SUM(Y11:Y24)</f>
        <v>77.935571140720469</v>
      </c>
      <c r="AA25" s="13"/>
      <c r="AB25" s="33"/>
    </row>
    <row r="26" spans="1:28" ht="13.5" thickTop="1" x14ac:dyDescent="0.2">
      <c r="M26" s="66"/>
      <c r="N26" s="66"/>
      <c r="O26" s="66"/>
      <c r="AA26" s="13"/>
    </row>
    <row r="27" spans="1:28" ht="24.75" hidden="1" x14ac:dyDescent="0.2">
      <c r="E27" s="67">
        <v>29706608671886</v>
      </c>
      <c r="F27" s="66"/>
      <c r="G27" s="67">
        <v>28884762411122</v>
      </c>
      <c r="H27" s="66"/>
      <c r="I27" s="67">
        <v>381032133</v>
      </c>
      <c r="J27" s="67"/>
      <c r="K27" s="67">
        <v>1040862065318</v>
      </c>
      <c r="L27" s="67"/>
      <c r="M27" s="67">
        <v>-669357710</v>
      </c>
      <c r="N27" s="67"/>
      <c r="O27" s="67">
        <v>-3682529600454</v>
      </c>
      <c r="P27" s="66"/>
      <c r="Q27" s="65">
        <f>C25+I25+M25</f>
        <v>7120152787</v>
      </c>
      <c r="R27" s="66"/>
      <c r="S27" s="66"/>
      <c r="T27" s="66"/>
      <c r="U27" s="65">
        <v>27755996548443</v>
      </c>
      <c r="V27" s="65"/>
      <c r="W27" s="65">
        <v>5571820135707</v>
      </c>
      <c r="Y27" s="44">
        <v>73.61</v>
      </c>
    </row>
    <row r="28" spans="1:28" ht="24.75" hidden="1" x14ac:dyDescent="0.2">
      <c r="E28" s="67">
        <f>E27-E25</f>
        <v>2806584721850</v>
      </c>
      <c r="F28" s="66"/>
      <c r="G28" s="67">
        <f>G27-G25</f>
        <v>-8778605288878</v>
      </c>
      <c r="H28" s="66"/>
      <c r="I28" s="67">
        <f>I27-I25</f>
        <v>-205696057</v>
      </c>
      <c r="J28" s="67"/>
      <c r="K28" s="67">
        <f>K27-K25</f>
        <v>-1772665544185</v>
      </c>
      <c r="L28" s="67"/>
      <c r="M28" s="67">
        <f>M27-M25</f>
        <v>325552520</v>
      </c>
      <c r="N28" s="67"/>
      <c r="O28" s="67">
        <f>O27-O25</f>
        <v>-9407961668900</v>
      </c>
      <c r="P28" s="66"/>
      <c r="Q28" s="65">
        <f>Q27-Q25</f>
        <v>0</v>
      </c>
      <c r="R28" s="66"/>
      <c r="S28" s="66"/>
      <c r="T28" s="66"/>
      <c r="U28" s="65">
        <f>U27-U25</f>
        <v>1392986611992</v>
      </c>
      <c r="V28" s="65"/>
      <c r="W28" s="65">
        <f>U27+W27</f>
        <v>33327816684150</v>
      </c>
      <c r="Y28" s="44">
        <f>Y27-Y25</f>
        <v>-4.32557114072047</v>
      </c>
    </row>
    <row r="29" spans="1:28" ht="24.75" hidden="1" x14ac:dyDescent="0.2">
      <c r="E29" s="67"/>
      <c r="F29" s="66"/>
      <c r="G29" s="67"/>
      <c r="H29" s="66"/>
      <c r="I29" s="67"/>
      <c r="J29" s="67"/>
      <c r="K29" s="67"/>
      <c r="L29" s="67"/>
      <c r="M29" s="67"/>
      <c r="N29" s="67"/>
      <c r="O29" s="67"/>
      <c r="P29" s="66"/>
      <c r="Q29" s="65"/>
      <c r="R29" s="66"/>
      <c r="S29" s="66"/>
      <c r="T29" s="66"/>
      <c r="U29" s="65"/>
      <c r="V29" s="65"/>
      <c r="W29" s="65">
        <f>W28-W25</f>
        <v>-11443226087451</v>
      </c>
    </row>
    <row r="30" spans="1:28" ht="24.75" x14ac:dyDescent="0.2">
      <c r="E30" s="65"/>
      <c r="F30" s="65"/>
      <c r="G30" s="65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5"/>
      <c r="V30" s="66"/>
      <c r="W30" s="65"/>
    </row>
    <row r="31" spans="1:28" ht="24.75" x14ac:dyDescent="0.2">
      <c r="E31" s="65"/>
      <c r="F31" s="65"/>
      <c r="G31" s="65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5"/>
      <c r="V31" s="66"/>
      <c r="W31" s="65"/>
    </row>
    <row r="32" spans="1:28" ht="24.75" x14ac:dyDescent="0.2">
      <c r="E32" s="65"/>
      <c r="F32" s="65"/>
      <c r="G32" s="65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5"/>
      <c r="V32" s="65"/>
      <c r="W32" s="65"/>
    </row>
    <row r="33" spans="5:23" ht="24.75" x14ac:dyDescent="0.2">
      <c r="E33" s="65"/>
      <c r="F33" s="65"/>
      <c r="G33" s="65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5"/>
      <c r="V33" s="65"/>
      <c r="W33" s="65"/>
    </row>
    <row r="34" spans="5:23" ht="24.75" x14ac:dyDescent="0.2"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5"/>
      <c r="V34" s="65"/>
      <c r="W34" s="65"/>
    </row>
    <row r="35" spans="5:23" x14ac:dyDescent="0.2"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</row>
  </sheetData>
  <sortState xmlns:xlrd2="http://schemas.microsoft.com/office/spreadsheetml/2017/richdata2" ref="A11:Y24">
    <sortCondition descending="1" ref="W11:W24"/>
  </sortState>
  <mergeCells count="20">
    <mergeCell ref="C7:Y7"/>
    <mergeCell ref="A6:Y6"/>
    <mergeCell ref="A1:Y1"/>
    <mergeCell ref="A2:Y2"/>
    <mergeCell ref="A3:Y3"/>
    <mergeCell ref="A5:Y5"/>
    <mergeCell ref="C8:G8"/>
    <mergeCell ref="A9:A10"/>
    <mergeCell ref="I8:O8"/>
    <mergeCell ref="Q8:Y8"/>
    <mergeCell ref="I9:K9"/>
    <mergeCell ref="M9:O9"/>
    <mergeCell ref="C9:C10"/>
    <mergeCell ref="E9:E10"/>
    <mergeCell ref="G9:G10"/>
    <mergeCell ref="Q9:Q10"/>
    <mergeCell ref="S9:S10"/>
    <mergeCell ref="U9:U10"/>
    <mergeCell ref="W9:W10"/>
    <mergeCell ref="Y9:Y10"/>
  </mergeCells>
  <pageMargins left="0.39" right="0.39" top="0.39" bottom="0.39" header="0" footer="0"/>
  <pageSetup paperSize="9" scale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28"/>
  <sheetViews>
    <sheetView rightToLeft="1" view="pageBreakPreview" topLeftCell="A6" zoomScale="70" zoomScaleNormal="100" zoomScaleSheetLayoutView="70" workbookViewId="0">
      <selection activeCell="AD5" sqref="AD5"/>
    </sheetView>
  </sheetViews>
  <sheetFormatPr defaultColWidth="9.140625" defaultRowHeight="24.75" x14ac:dyDescent="0.4"/>
  <cols>
    <col min="1" max="1" width="37.42578125" style="19" bestFit="1" customWidth="1"/>
    <col min="2" max="2" width="1.42578125" style="19" customWidth="1"/>
    <col min="3" max="3" width="15.28515625" style="68" bestFit="1" customWidth="1"/>
    <col min="4" max="4" width="1.42578125" style="68" customWidth="1"/>
    <col min="5" max="5" width="26.28515625" style="68" bestFit="1" customWidth="1"/>
    <col min="6" max="6" width="1.42578125" style="68" customWidth="1"/>
    <col min="7" max="7" width="27.7109375" style="68" bestFit="1" customWidth="1"/>
    <col min="8" max="8" width="1.42578125" style="68" customWidth="1"/>
    <col min="9" max="9" width="16.7109375" style="68" bestFit="1" customWidth="1"/>
    <col min="10" max="10" width="1.42578125" style="68" customWidth="1"/>
    <col min="11" max="11" width="26.42578125" style="68" bestFit="1" customWidth="1"/>
    <col min="12" max="12" width="1.42578125" style="68" customWidth="1"/>
    <col min="13" max="13" width="16.140625" style="68" bestFit="1" customWidth="1"/>
    <col min="14" max="14" width="1.42578125" style="68" customWidth="1"/>
    <col min="15" max="15" width="26.85546875" style="68" bestFit="1" customWidth="1"/>
    <col min="16" max="16" width="1.42578125" style="68" customWidth="1"/>
    <col min="17" max="17" width="16.7109375" style="68" bestFit="1" customWidth="1"/>
    <col min="18" max="18" width="1.42578125" style="68" customWidth="1"/>
    <col min="19" max="19" width="34.5703125" style="68" bestFit="1" customWidth="1"/>
    <col min="20" max="20" width="1.42578125" style="68" customWidth="1"/>
    <col min="21" max="21" width="27" style="68" bestFit="1" customWidth="1"/>
    <col min="22" max="22" width="1.42578125" style="68" customWidth="1"/>
    <col min="23" max="23" width="25.5703125" style="68" bestFit="1" customWidth="1"/>
    <col min="24" max="24" width="1.42578125" style="17" customWidth="1"/>
    <col min="25" max="25" width="27.42578125" style="17" bestFit="1" customWidth="1"/>
    <col min="26" max="26" width="0.5703125" style="17" customWidth="1"/>
    <col min="27" max="27" width="24.140625" style="17" bestFit="1" customWidth="1"/>
    <col min="28" max="28" width="21.85546875" style="25" bestFit="1" customWidth="1"/>
    <col min="29" max="29" width="26.140625" style="17" bestFit="1" customWidth="1"/>
    <col min="30" max="16384" width="9.140625" style="17"/>
  </cols>
  <sheetData>
    <row r="1" spans="1:30" ht="40.5" customHeight="1" x14ac:dyDescent="0.4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</row>
    <row r="2" spans="1:30" ht="40.5" customHeight="1" x14ac:dyDescent="0.4">
      <c r="A2" s="193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</row>
    <row r="3" spans="1:30" ht="40.5" customHeight="1" x14ac:dyDescent="0.4">
      <c r="A3" s="193" t="str">
        <f>سهام!A3</f>
        <v>به تاریخ 30 مهر 1405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30" ht="40.5" customHeight="1" x14ac:dyDescent="0.4"/>
    <row r="5" spans="1:30" ht="40.5" customHeight="1" x14ac:dyDescent="0.4">
      <c r="A5" s="192" t="s">
        <v>165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</row>
    <row r="6" spans="1:30" ht="40.5" customHeight="1" x14ac:dyDescent="0.4">
      <c r="A6" s="11"/>
      <c r="B6" s="11"/>
      <c r="C6" s="191" t="s">
        <v>102</v>
      </c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</row>
    <row r="7" spans="1:30" ht="40.5" customHeight="1" thickBot="1" x14ac:dyDescent="0.9">
      <c r="C7" s="196" t="str">
        <f>سهام!C8</f>
        <v>1405/06/31</v>
      </c>
      <c r="D7" s="196"/>
      <c r="E7" s="196"/>
      <c r="F7" s="196"/>
      <c r="G7" s="196"/>
      <c r="H7" s="99"/>
      <c r="I7" s="196" t="s">
        <v>2</v>
      </c>
      <c r="J7" s="196"/>
      <c r="K7" s="196"/>
      <c r="L7" s="196"/>
      <c r="M7" s="196"/>
      <c r="N7" s="196"/>
      <c r="O7" s="196"/>
      <c r="P7" s="99"/>
      <c r="Q7" s="186" t="str">
        <f>سهام!Q8</f>
        <v>1405/07/30</v>
      </c>
      <c r="R7" s="186"/>
      <c r="S7" s="186"/>
      <c r="T7" s="186"/>
      <c r="U7" s="186"/>
      <c r="V7" s="186"/>
      <c r="W7" s="186"/>
      <c r="X7" s="186"/>
      <c r="Y7" s="186"/>
    </row>
    <row r="8" spans="1:30" ht="40.5" customHeight="1" thickBot="1" x14ac:dyDescent="0.7">
      <c r="A8" s="197" t="s">
        <v>36</v>
      </c>
      <c r="B8" s="27"/>
      <c r="C8" s="194" t="s">
        <v>37</v>
      </c>
      <c r="D8" s="77"/>
      <c r="E8" s="194" t="s">
        <v>7</v>
      </c>
      <c r="F8" s="77"/>
      <c r="G8" s="194" t="s">
        <v>8</v>
      </c>
      <c r="H8" s="77"/>
      <c r="I8" s="195" t="s">
        <v>34</v>
      </c>
      <c r="J8" s="195"/>
      <c r="K8" s="195"/>
      <c r="L8" s="77"/>
      <c r="M8" s="195" t="s">
        <v>35</v>
      </c>
      <c r="N8" s="195"/>
      <c r="O8" s="195"/>
      <c r="P8" s="77"/>
      <c r="Q8" s="194" t="s">
        <v>6</v>
      </c>
      <c r="R8" s="77"/>
      <c r="S8" s="199" t="s">
        <v>38</v>
      </c>
      <c r="T8" s="77"/>
      <c r="U8" s="194" t="s">
        <v>7</v>
      </c>
      <c r="V8" s="77"/>
      <c r="W8" s="194" t="s">
        <v>8</v>
      </c>
      <c r="X8" s="23"/>
      <c r="Y8" s="187" t="s">
        <v>164</v>
      </c>
    </row>
    <row r="9" spans="1:30" ht="40.5" customHeight="1" thickBot="1" x14ac:dyDescent="0.7">
      <c r="A9" s="198"/>
      <c r="B9" s="27"/>
      <c r="C9" s="195"/>
      <c r="D9" s="77"/>
      <c r="E9" s="195"/>
      <c r="F9" s="77"/>
      <c r="G9" s="195"/>
      <c r="H9" s="77"/>
      <c r="I9" s="92" t="s">
        <v>6</v>
      </c>
      <c r="J9" s="77"/>
      <c r="K9" s="92" t="s">
        <v>7</v>
      </c>
      <c r="L9" s="77"/>
      <c r="M9" s="92" t="s">
        <v>6</v>
      </c>
      <c r="N9" s="77"/>
      <c r="O9" s="92" t="s">
        <v>9</v>
      </c>
      <c r="P9" s="77"/>
      <c r="Q9" s="195"/>
      <c r="R9" s="77"/>
      <c r="S9" s="200"/>
      <c r="T9" s="77"/>
      <c r="U9" s="195"/>
      <c r="V9" s="77"/>
      <c r="W9" s="195"/>
      <c r="X9" s="23"/>
      <c r="Y9" s="188"/>
    </row>
    <row r="10" spans="1:30" ht="40.5" customHeight="1" x14ac:dyDescent="0.65">
      <c r="A10" s="37" t="s">
        <v>39</v>
      </c>
      <c r="C10" s="25">
        <v>6460000</v>
      </c>
      <c r="D10" s="25"/>
      <c r="E10" s="37">
        <v>184377124224</v>
      </c>
      <c r="F10" s="37"/>
      <c r="G10" s="37">
        <v>303766344840</v>
      </c>
      <c r="H10" s="37"/>
      <c r="I10" s="37">
        <v>0</v>
      </c>
      <c r="J10" s="37"/>
      <c r="K10" s="37">
        <v>0</v>
      </c>
      <c r="L10" s="37"/>
      <c r="M10" s="37">
        <v>0</v>
      </c>
      <c r="N10" s="37"/>
      <c r="O10" s="37">
        <v>0</v>
      </c>
      <c r="P10" s="37"/>
      <c r="Q10" s="37">
        <v>6460000</v>
      </c>
      <c r="R10" s="37"/>
      <c r="S10" s="37">
        <v>48325</v>
      </c>
      <c r="T10" s="37"/>
      <c r="U10" s="37">
        <v>184377124224</v>
      </c>
      <c r="V10" s="37"/>
      <c r="W10" s="37">
        <v>312064383808</v>
      </c>
      <c r="X10" s="34"/>
      <c r="Y10" s="138">
        <f>W10/57446223997977*100</f>
        <v>0.54322871389943661</v>
      </c>
      <c r="AA10" s="25"/>
      <c r="AC10" s="27"/>
      <c r="AD10" s="19"/>
    </row>
    <row r="11" spans="1:30" ht="40.5" customHeight="1" x14ac:dyDescent="0.65">
      <c r="A11" s="37" t="s">
        <v>40</v>
      </c>
      <c r="C11" s="25">
        <v>65915712</v>
      </c>
      <c r="D11" s="25"/>
      <c r="E11" s="37">
        <v>2323797471162</v>
      </c>
      <c r="F11" s="37"/>
      <c r="G11" s="37">
        <v>2353245658924</v>
      </c>
      <c r="H11" s="37"/>
      <c r="I11" s="37">
        <v>68360000</v>
      </c>
      <c r="J11" s="37"/>
      <c r="K11" s="37">
        <v>2474468683961</v>
      </c>
      <c r="L11" s="37"/>
      <c r="M11" s="37">
        <v>-52670000</v>
      </c>
      <c r="N11" s="37"/>
      <c r="O11" s="37">
        <v>1906947393793</v>
      </c>
      <c r="P11" s="37"/>
      <c r="Q11" s="37">
        <v>81605712</v>
      </c>
      <c r="R11" s="37"/>
      <c r="S11" s="37">
        <v>36675</v>
      </c>
      <c r="T11" s="37"/>
      <c r="U11" s="37">
        <v>2917564324978</v>
      </c>
      <c r="V11" s="37"/>
      <c r="W11" s="37">
        <v>2991785859598</v>
      </c>
      <c r="X11" s="34"/>
      <c r="Y11" s="138">
        <f t="shared" ref="Y11:Y19" si="0">W11/57446223997977*100</f>
        <v>5.2079765237543851</v>
      </c>
      <c r="AA11" s="25"/>
      <c r="AC11" s="27"/>
      <c r="AD11" s="19"/>
    </row>
    <row r="12" spans="1:30" ht="40.5" customHeight="1" x14ac:dyDescent="0.65">
      <c r="A12" s="37" t="s">
        <v>173</v>
      </c>
      <c r="C12" s="25">
        <v>2000000</v>
      </c>
      <c r="D12" s="25"/>
      <c r="E12" s="37">
        <v>20000000000</v>
      </c>
      <c r="F12" s="37"/>
      <c r="G12" s="37">
        <v>21907918475</v>
      </c>
      <c r="H12" s="37"/>
      <c r="I12" s="37">
        <v>0</v>
      </c>
      <c r="J12" s="37"/>
      <c r="K12" s="37">
        <v>0</v>
      </c>
      <c r="L12" s="37"/>
      <c r="M12" s="37">
        <v>0</v>
      </c>
      <c r="N12" s="37"/>
      <c r="O12" s="37">
        <v>0</v>
      </c>
      <c r="P12" s="37"/>
      <c r="Q12" s="37">
        <v>2000000</v>
      </c>
      <c r="R12" s="37"/>
      <c r="S12" s="37">
        <v>11271</v>
      </c>
      <c r="T12" s="37"/>
      <c r="U12" s="37">
        <v>20000000000</v>
      </c>
      <c r="V12" s="37"/>
      <c r="W12" s="37">
        <v>22533687637</v>
      </c>
      <c r="X12" s="34"/>
      <c r="Y12" s="138">
        <f t="shared" si="0"/>
        <v>3.9225707224540184E-2</v>
      </c>
      <c r="AA12" s="25"/>
      <c r="AC12" s="27"/>
      <c r="AD12" s="19"/>
    </row>
    <row r="13" spans="1:30" ht="40.5" customHeight="1" x14ac:dyDescent="0.65">
      <c r="A13" s="37" t="s">
        <v>184</v>
      </c>
      <c r="C13" s="25">
        <v>52500000</v>
      </c>
      <c r="D13" s="25"/>
      <c r="E13" s="37">
        <v>1505519955745</v>
      </c>
      <c r="F13" s="37"/>
      <c r="G13" s="37">
        <v>1546919363059</v>
      </c>
      <c r="H13" s="37"/>
      <c r="I13" s="37">
        <v>0</v>
      </c>
      <c r="J13" s="37"/>
      <c r="K13" s="37">
        <v>0</v>
      </c>
      <c r="L13" s="37"/>
      <c r="M13" s="37">
        <v>-52500000</v>
      </c>
      <c r="N13" s="37"/>
      <c r="O13" s="37">
        <v>1578609555313</v>
      </c>
      <c r="P13" s="37"/>
      <c r="Q13" s="37">
        <v>0</v>
      </c>
      <c r="R13" s="37"/>
      <c r="S13" s="37">
        <v>0</v>
      </c>
      <c r="T13" s="37"/>
      <c r="U13" s="37">
        <v>0</v>
      </c>
      <c r="V13" s="37"/>
      <c r="W13" s="37">
        <v>0</v>
      </c>
      <c r="X13" s="34"/>
      <c r="Y13" s="138">
        <f t="shared" si="0"/>
        <v>0</v>
      </c>
      <c r="AA13" s="25"/>
      <c r="AC13" s="27"/>
      <c r="AD13" s="19"/>
    </row>
    <row r="14" spans="1:30" ht="40.5" customHeight="1" x14ac:dyDescent="0.65">
      <c r="A14" s="37" t="s">
        <v>139</v>
      </c>
      <c r="C14" s="25">
        <v>48150000</v>
      </c>
      <c r="D14" s="25"/>
      <c r="E14" s="37">
        <v>756452288879</v>
      </c>
      <c r="F14" s="37"/>
      <c r="G14" s="37">
        <v>885200112045</v>
      </c>
      <c r="H14" s="37"/>
      <c r="I14" s="37">
        <v>10800000</v>
      </c>
      <c r="J14" s="37"/>
      <c r="K14" s="37">
        <v>201364625830</v>
      </c>
      <c r="L14" s="37"/>
      <c r="M14" s="37">
        <v>0</v>
      </c>
      <c r="N14" s="37"/>
      <c r="O14" s="37">
        <v>0</v>
      </c>
      <c r="P14" s="37"/>
      <c r="Q14" s="37">
        <v>58950000</v>
      </c>
      <c r="R14" s="37"/>
      <c r="S14" s="37">
        <v>18913</v>
      </c>
      <c r="T14" s="37"/>
      <c r="U14" s="37">
        <v>957816914709</v>
      </c>
      <c r="V14" s="37"/>
      <c r="W14" s="37">
        <v>1114510222748</v>
      </c>
      <c r="X14" s="34"/>
      <c r="Y14" s="138">
        <f t="shared" si="0"/>
        <v>1.9400930908657255</v>
      </c>
      <c r="AA14" s="25"/>
      <c r="AC14" s="27"/>
      <c r="AD14" s="19"/>
    </row>
    <row r="15" spans="1:30" ht="40.5" customHeight="1" x14ac:dyDescent="0.65">
      <c r="A15" s="37" t="s">
        <v>178</v>
      </c>
      <c r="C15" s="25">
        <v>1000000</v>
      </c>
      <c r="D15" s="25"/>
      <c r="E15" s="37">
        <v>20081402283</v>
      </c>
      <c r="F15" s="37"/>
      <c r="G15" s="37">
        <v>21752975631</v>
      </c>
      <c r="H15" s="37"/>
      <c r="I15" s="37">
        <v>0</v>
      </c>
      <c r="J15" s="37"/>
      <c r="K15" s="37">
        <v>0</v>
      </c>
      <c r="L15" s="37"/>
      <c r="M15" s="37">
        <v>0</v>
      </c>
      <c r="N15" s="37"/>
      <c r="O15" s="37">
        <v>0</v>
      </c>
      <c r="P15" s="37"/>
      <c r="Q15" s="37">
        <v>1000000</v>
      </c>
      <c r="R15" s="37"/>
      <c r="S15" s="37">
        <v>22392</v>
      </c>
      <c r="T15" s="37"/>
      <c r="U15" s="37">
        <v>20081402283</v>
      </c>
      <c r="V15" s="37"/>
      <c r="W15" s="37">
        <v>22383742950</v>
      </c>
      <c r="X15" s="34"/>
      <c r="Y15" s="138">
        <f t="shared" si="0"/>
        <v>3.8964689743207936E-2</v>
      </c>
      <c r="AA15" s="25"/>
      <c r="AC15" s="27"/>
      <c r="AD15" s="19"/>
    </row>
    <row r="16" spans="1:30" ht="40.5" customHeight="1" x14ac:dyDescent="0.65">
      <c r="A16" s="37" t="s">
        <v>42</v>
      </c>
      <c r="B16" s="21"/>
      <c r="C16" s="25">
        <v>16800000</v>
      </c>
      <c r="D16" s="25"/>
      <c r="E16" s="37">
        <v>300970141828</v>
      </c>
      <c r="F16" s="37"/>
      <c r="G16" s="37">
        <v>321097551600</v>
      </c>
      <c r="H16" s="37"/>
      <c r="I16" s="37">
        <v>0</v>
      </c>
      <c r="J16" s="37"/>
      <c r="K16" s="37">
        <v>0</v>
      </c>
      <c r="L16" s="37"/>
      <c r="M16" s="37">
        <v>0</v>
      </c>
      <c r="N16" s="37"/>
      <c r="O16" s="37">
        <v>0</v>
      </c>
      <c r="P16" s="37"/>
      <c r="Q16" s="37">
        <v>16800000</v>
      </c>
      <c r="R16" s="37"/>
      <c r="S16" s="37">
        <v>19673</v>
      </c>
      <c r="T16" s="37"/>
      <c r="U16" s="37">
        <v>300970141828</v>
      </c>
      <c r="V16" s="37"/>
      <c r="W16" s="37">
        <v>330384525764</v>
      </c>
      <c r="X16" s="34"/>
      <c r="Y16" s="138">
        <f t="shared" si="0"/>
        <v>0.57511965586395142</v>
      </c>
      <c r="AA16" s="25"/>
      <c r="AC16" s="27"/>
      <c r="AD16" s="19"/>
    </row>
    <row r="17" spans="1:30" ht="40.5" customHeight="1" x14ac:dyDescent="0.65">
      <c r="A17" s="37" t="s">
        <v>180</v>
      </c>
      <c r="C17" s="25">
        <v>11500000</v>
      </c>
      <c r="D17" s="25"/>
      <c r="E17" s="37">
        <v>115042406250</v>
      </c>
      <c r="F17" s="37"/>
      <c r="G17" s="37">
        <v>118923630734</v>
      </c>
      <c r="H17" s="37"/>
      <c r="I17" s="37">
        <v>246250000</v>
      </c>
      <c r="J17" s="37"/>
      <c r="K17" s="37">
        <v>2606906942082</v>
      </c>
      <c r="L17" s="37"/>
      <c r="M17" s="37">
        <v>-11500000</v>
      </c>
      <c r="N17" s="37"/>
      <c r="O17" s="37">
        <v>120889405588</v>
      </c>
      <c r="P17" s="37"/>
      <c r="Q17" s="37">
        <v>246250000</v>
      </c>
      <c r="R17" s="37"/>
      <c r="S17" s="37">
        <v>10635</v>
      </c>
      <c r="T17" s="37"/>
      <c r="U17" s="37">
        <v>2606906942082</v>
      </c>
      <c r="V17" s="37"/>
      <c r="W17" s="37">
        <v>2617903042143</v>
      </c>
      <c r="X17" s="34"/>
      <c r="Y17" s="138">
        <f t="shared" si="0"/>
        <v>4.5571368489514485</v>
      </c>
      <c r="AA17" s="25"/>
      <c r="AC17" s="27"/>
      <c r="AD17" s="19"/>
    </row>
    <row r="18" spans="1:30" ht="40.5" customHeight="1" x14ac:dyDescent="0.65">
      <c r="A18" s="37" t="s">
        <v>174</v>
      </c>
      <c r="C18" s="25">
        <v>2000000</v>
      </c>
      <c r="D18" s="25"/>
      <c r="E18" s="37">
        <v>20007375000</v>
      </c>
      <c r="F18" s="37"/>
      <c r="G18" s="37">
        <v>21935908150</v>
      </c>
      <c r="H18" s="37"/>
      <c r="I18" s="37">
        <v>0</v>
      </c>
      <c r="J18" s="37"/>
      <c r="K18" s="37">
        <v>0</v>
      </c>
      <c r="L18" s="37"/>
      <c r="M18" s="37">
        <v>-2000000</v>
      </c>
      <c r="N18" s="37"/>
      <c r="O18" s="37">
        <v>22039869810</v>
      </c>
      <c r="P18" s="37"/>
      <c r="Q18" s="37">
        <v>0</v>
      </c>
      <c r="R18" s="37"/>
      <c r="S18" s="37">
        <v>0</v>
      </c>
      <c r="T18" s="37"/>
      <c r="U18" s="37">
        <v>0</v>
      </c>
      <c r="V18" s="37"/>
      <c r="W18" s="37">
        <v>0</v>
      </c>
      <c r="X18" s="34"/>
      <c r="Y18" s="138">
        <f t="shared" si="0"/>
        <v>0</v>
      </c>
      <c r="AA18" s="25"/>
      <c r="AC18" s="27"/>
      <c r="AD18" s="19"/>
    </row>
    <row r="19" spans="1:30" ht="40.5" customHeight="1" x14ac:dyDescent="0.65">
      <c r="A19" s="37" t="s">
        <v>189</v>
      </c>
      <c r="C19" s="25">
        <v>0</v>
      </c>
      <c r="D19" s="25"/>
      <c r="E19" s="37">
        <v>0</v>
      </c>
      <c r="F19" s="37"/>
      <c r="G19" s="37">
        <v>0</v>
      </c>
      <c r="H19" s="37"/>
      <c r="I19" s="37">
        <v>12000000</v>
      </c>
      <c r="J19" s="37"/>
      <c r="K19" s="37">
        <v>120044250000</v>
      </c>
      <c r="L19" s="37"/>
      <c r="M19" s="37">
        <v>0</v>
      </c>
      <c r="N19" s="37"/>
      <c r="O19" s="37">
        <v>0</v>
      </c>
      <c r="P19" s="37"/>
      <c r="Q19" s="37">
        <v>12000000</v>
      </c>
      <c r="R19" s="37"/>
      <c r="S19" s="37">
        <v>10000</v>
      </c>
      <c r="T19" s="37"/>
      <c r="U19" s="37">
        <v>120044250000</v>
      </c>
      <c r="V19" s="37"/>
      <c r="W19" s="37">
        <v>119955750000</v>
      </c>
      <c r="X19" s="34"/>
      <c r="Y19" s="138">
        <f t="shared" si="0"/>
        <v>0.20881398576210039</v>
      </c>
      <c r="AA19" s="25"/>
      <c r="AC19" s="27"/>
      <c r="AD19" s="19"/>
    </row>
    <row r="20" spans="1:30" ht="40.5" customHeight="1" thickBot="1" x14ac:dyDescent="0.45">
      <c r="A20" s="16"/>
      <c r="C20" s="20"/>
      <c r="D20" s="20"/>
      <c r="E20" s="139">
        <f>SUM(E10:E19)</f>
        <v>5246248165371</v>
      </c>
      <c r="F20" s="53"/>
      <c r="G20" s="229">
        <f>SUM(G10:G19)</f>
        <v>5594749463458</v>
      </c>
      <c r="H20" s="53"/>
      <c r="I20" s="53"/>
      <c r="J20" s="53"/>
      <c r="K20" s="139">
        <f>SUM(K10:K19)</f>
        <v>5402784501873</v>
      </c>
      <c r="L20" s="53"/>
      <c r="M20" s="53"/>
      <c r="N20" s="53"/>
      <c r="O20" s="139">
        <f>SUM(O10:O19)</f>
        <v>3628486224504</v>
      </c>
      <c r="P20" s="53"/>
      <c r="Q20" s="53"/>
      <c r="R20" s="53"/>
      <c r="S20" s="53"/>
      <c r="T20" s="53"/>
      <c r="U20" s="139">
        <f>SUM(U10:U19)</f>
        <v>7127761100104</v>
      </c>
      <c r="V20" s="53"/>
      <c r="W20" s="229">
        <f>SUM(W10:W19)</f>
        <v>7531521214648</v>
      </c>
      <c r="X20" s="48"/>
      <c r="Y20" s="140">
        <f>SUM(Y10:Y19)</f>
        <v>13.110559216064795</v>
      </c>
    </row>
    <row r="21" spans="1:30" ht="25.5" thickTop="1" x14ac:dyDescent="0.4"/>
    <row r="22" spans="1:30" hidden="1" x14ac:dyDescent="0.4">
      <c r="C22" s="67"/>
      <c r="D22" s="67"/>
      <c r="E22" s="67">
        <v>2282122162449</v>
      </c>
      <c r="F22" s="67"/>
      <c r="G22" s="67">
        <v>2598074390298</v>
      </c>
      <c r="H22" s="67"/>
      <c r="I22" s="67">
        <v>56380000</v>
      </c>
      <c r="J22" s="67"/>
      <c r="K22" s="67">
        <v>1496428614600</v>
      </c>
      <c r="L22" s="67"/>
      <c r="M22" s="67">
        <v>-33532194</v>
      </c>
      <c r="N22" s="67"/>
      <c r="O22" s="67">
        <v>-931766640064</v>
      </c>
      <c r="P22" s="67"/>
      <c r="Q22" s="67">
        <f>C20+I20+M20</f>
        <v>0</v>
      </c>
      <c r="R22" s="67"/>
      <c r="S22" s="67"/>
      <c r="T22" s="67"/>
      <c r="U22" s="67">
        <v>2893069574391</v>
      </c>
      <c r="V22" s="67"/>
      <c r="W22" s="67">
        <v>344134055538</v>
      </c>
      <c r="Y22" s="35">
        <v>7.15</v>
      </c>
    </row>
    <row r="23" spans="1:30" hidden="1" x14ac:dyDescent="0.4">
      <c r="C23" s="67"/>
      <c r="D23" s="67"/>
      <c r="E23" s="67">
        <f>E22-E20</f>
        <v>-2964126002922</v>
      </c>
      <c r="F23" s="67"/>
      <c r="G23" s="67">
        <f>G22-G20</f>
        <v>-2996675073160</v>
      </c>
      <c r="H23" s="67"/>
      <c r="I23" s="67">
        <f>I22-I20</f>
        <v>56380000</v>
      </c>
      <c r="J23" s="67"/>
      <c r="K23" s="67">
        <f>K22-K20</f>
        <v>-3906355887273</v>
      </c>
      <c r="L23" s="67"/>
      <c r="M23" s="67">
        <f>M22-M20</f>
        <v>-33532194</v>
      </c>
      <c r="N23" s="67"/>
      <c r="O23" s="67">
        <f>O22-O20</f>
        <v>-4560252864568</v>
      </c>
      <c r="P23" s="67"/>
      <c r="Q23" s="67">
        <f>Q22-Q20</f>
        <v>0</v>
      </c>
      <c r="R23" s="67"/>
      <c r="S23" s="67"/>
      <c r="T23" s="67"/>
      <c r="U23" s="67">
        <f>U22-U20</f>
        <v>-4234691525713</v>
      </c>
      <c r="V23" s="67"/>
      <c r="W23" s="67">
        <f>U22+W22</f>
        <v>3237203629929</v>
      </c>
      <c r="Y23" s="35">
        <f>Y22-Y20</f>
        <v>-5.9605592160647944</v>
      </c>
    </row>
    <row r="24" spans="1:30" hidden="1" x14ac:dyDescent="0.4">
      <c r="G24" s="67"/>
      <c r="W24" s="67">
        <f>W23-W20</f>
        <v>-4294317584719</v>
      </c>
    </row>
    <row r="25" spans="1:30" ht="27.75" x14ac:dyDescent="0.65">
      <c r="U25" s="77"/>
      <c r="V25" s="77"/>
      <c r="W25" s="77"/>
    </row>
    <row r="26" spans="1:30" ht="27.75" x14ac:dyDescent="0.65">
      <c r="U26" s="77"/>
      <c r="V26" s="77"/>
      <c r="W26" s="77"/>
    </row>
    <row r="27" spans="1:30" ht="27.75" x14ac:dyDescent="0.4">
      <c r="E27" s="25"/>
      <c r="F27" s="25"/>
      <c r="G27" s="25"/>
      <c r="U27" s="119"/>
      <c r="V27" s="119"/>
      <c r="W27" s="119"/>
    </row>
    <row r="28" spans="1:30" x14ac:dyDescent="0.4">
      <c r="U28" s="25"/>
      <c r="V28" s="25"/>
      <c r="W28" s="25"/>
    </row>
  </sheetData>
  <sortState xmlns:xlrd2="http://schemas.microsoft.com/office/spreadsheetml/2017/richdata2" ref="A10:Y19">
    <sortCondition descending="1" ref="W10:W19"/>
  </sortState>
  <mergeCells count="19">
    <mergeCell ref="Q7:Y7"/>
    <mergeCell ref="A1:Y1"/>
    <mergeCell ref="A2:Y2"/>
    <mergeCell ref="U8:U9"/>
    <mergeCell ref="W8:W9"/>
    <mergeCell ref="Y8:Y9"/>
    <mergeCell ref="A3:Y3"/>
    <mergeCell ref="C7:G7"/>
    <mergeCell ref="A8:A9"/>
    <mergeCell ref="C6:Y6"/>
    <mergeCell ref="C8:C9"/>
    <mergeCell ref="E8:E9"/>
    <mergeCell ref="G8:G9"/>
    <mergeCell ref="Q8:Q9"/>
    <mergeCell ref="S8:S9"/>
    <mergeCell ref="I8:K8"/>
    <mergeCell ref="M8:O8"/>
    <mergeCell ref="A5:Y5"/>
    <mergeCell ref="I7:O7"/>
  </mergeCells>
  <pageMargins left="0.39" right="0.39" top="0.39" bottom="0.39" header="0" footer="0"/>
  <pageSetup scale="3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23"/>
  <sheetViews>
    <sheetView rightToLeft="1" view="pageBreakPreview" topLeftCell="N1" zoomScale="60" zoomScaleNormal="100" workbookViewId="0">
      <selection activeCell="AG20" sqref="AG20"/>
    </sheetView>
  </sheetViews>
  <sheetFormatPr defaultColWidth="9.140625" defaultRowHeight="27.75" x14ac:dyDescent="0.65"/>
  <cols>
    <col min="1" max="1" width="42.5703125" style="23" bestFit="1" customWidth="1"/>
    <col min="2" max="2" width="1.42578125" style="23" customWidth="1"/>
    <col min="3" max="3" width="27.28515625" style="23" bestFit="1" customWidth="1"/>
    <col min="4" max="4" width="1.42578125" style="23" customWidth="1"/>
    <col min="5" max="5" width="41.5703125" style="23" bestFit="1" customWidth="1"/>
    <col min="6" max="6" width="1.42578125" style="23" customWidth="1"/>
    <col min="7" max="7" width="23" style="23" bestFit="1" customWidth="1"/>
    <col min="8" max="8" width="1.42578125" style="23" customWidth="1"/>
    <col min="9" max="9" width="18.7109375" style="23" bestFit="1" customWidth="1"/>
    <col min="10" max="10" width="1.42578125" style="23" customWidth="1"/>
    <col min="11" max="11" width="19.28515625" style="23" bestFit="1" customWidth="1"/>
    <col min="12" max="12" width="1.42578125" style="23" customWidth="1"/>
    <col min="13" max="13" width="17.5703125" style="23" bestFit="1" customWidth="1"/>
    <col min="14" max="14" width="1.42578125" style="23" customWidth="1"/>
    <col min="15" max="15" width="15.85546875" style="77" bestFit="1" customWidth="1"/>
    <col min="16" max="16" width="1.42578125" style="77" customWidth="1"/>
    <col min="17" max="17" width="29" style="77" bestFit="1" customWidth="1"/>
    <col min="18" max="18" width="1.42578125" style="77" customWidth="1"/>
    <col min="19" max="19" width="29" style="77" bestFit="1" customWidth="1"/>
    <col min="20" max="20" width="1.42578125" style="77" customWidth="1"/>
    <col min="21" max="21" width="15.85546875" style="77" bestFit="1" customWidth="1"/>
    <col min="22" max="22" width="1.42578125" style="77" customWidth="1"/>
    <col min="23" max="23" width="28" style="77" bestFit="1" customWidth="1"/>
    <col min="24" max="24" width="1.42578125" style="77" customWidth="1"/>
    <col min="25" max="25" width="16.85546875" style="77" bestFit="1" customWidth="1"/>
    <col min="26" max="26" width="1.42578125" style="77" customWidth="1"/>
    <col min="27" max="27" width="28.42578125" style="77" bestFit="1" customWidth="1"/>
    <col min="28" max="28" width="1.42578125" style="77" customWidth="1"/>
    <col min="29" max="29" width="13.42578125" style="77" bestFit="1" customWidth="1"/>
    <col min="30" max="30" width="1.42578125" style="77" customWidth="1"/>
    <col min="31" max="31" width="24.140625" style="77" bestFit="1" customWidth="1"/>
    <col min="32" max="32" width="1.42578125" style="77" customWidth="1"/>
    <col min="33" max="33" width="27.7109375" style="77" bestFit="1" customWidth="1"/>
    <col min="34" max="34" width="1.42578125" style="77" customWidth="1"/>
    <col min="35" max="35" width="27.7109375" style="77" bestFit="1" customWidth="1"/>
    <col min="36" max="36" width="1.42578125" style="23" customWidth="1"/>
    <col min="37" max="37" width="26.85546875" style="23" bestFit="1" customWidth="1"/>
    <col min="38" max="38" width="1.140625" style="23" customWidth="1"/>
    <col min="39" max="39" width="20.28515625" style="23" bestFit="1" customWidth="1"/>
    <col min="40" max="16384" width="9.140625" style="23"/>
  </cols>
  <sheetData>
    <row r="1" spans="1:39" ht="46.5" customHeight="1" x14ac:dyDescent="0.6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</row>
    <row r="2" spans="1:39" ht="46.5" customHeight="1" x14ac:dyDescent="0.65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</row>
    <row r="3" spans="1:39" ht="46.5" customHeight="1" x14ac:dyDescent="0.65">
      <c r="A3" s="187" t="str">
        <f>سهام!A3</f>
        <v>به تاریخ 30 مهر 1405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</row>
    <row r="4" spans="1:39" ht="46.5" customHeight="1" x14ac:dyDescent="0.65"/>
    <row r="5" spans="1:39" ht="46.5" customHeight="1" x14ac:dyDescent="0.65">
      <c r="A5" s="205" t="s">
        <v>103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5"/>
    </row>
    <row r="6" spans="1:39" ht="46.5" customHeight="1" x14ac:dyDescent="0.65">
      <c r="A6" s="113"/>
      <c r="B6" s="113"/>
      <c r="C6" s="201" t="s">
        <v>102</v>
      </c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</row>
    <row r="7" spans="1:39" ht="46.5" customHeight="1" thickBot="1" x14ac:dyDescent="0.7">
      <c r="A7" s="114"/>
      <c r="B7" s="114"/>
      <c r="C7" s="188" t="s">
        <v>43</v>
      </c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14"/>
      <c r="O7" s="195" t="str">
        <f>سهام!C8</f>
        <v>1405/06/31</v>
      </c>
      <c r="P7" s="195"/>
      <c r="Q7" s="195"/>
      <c r="R7" s="195"/>
      <c r="S7" s="195"/>
      <c r="U7" s="195" t="s">
        <v>2</v>
      </c>
      <c r="V7" s="195"/>
      <c r="W7" s="195"/>
      <c r="X7" s="195"/>
      <c r="Y7" s="195"/>
      <c r="Z7" s="195"/>
      <c r="AA7" s="195"/>
      <c r="AC7" s="188" t="str">
        <f>سهام!Q8</f>
        <v>1405/07/30</v>
      </c>
      <c r="AD7" s="188"/>
      <c r="AE7" s="188"/>
      <c r="AF7" s="188"/>
      <c r="AG7" s="188"/>
      <c r="AH7" s="188"/>
      <c r="AI7" s="188"/>
      <c r="AJ7" s="188"/>
      <c r="AK7" s="188"/>
    </row>
    <row r="8" spans="1:39" ht="46.5" customHeight="1" thickBot="1" x14ac:dyDescent="0.7">
      <c r="A8" s="187" t="s">
        <v>44</v>
      </c>
      <c r="C8" s="204" t="s">
        <v>45</v>
      </c>
      <c r="E8" s="204" t="s">
        <v>46</v>
      </c>
      <c r="G8" s="204" t="s">
        <v>47</v>
      </c>
      <c r="I8" s="204" t="s">
        <v>48</v>
      </c>
      <c r="K8" s="204" t="s">
        <v>49</v>
      </c>
      <c r="M8" s="204" t="s">
        <v>32</v>
      </c>
      <c r="O8" s="202" t="s">
        <v>6</v>
      </c>
      <c r="Q8" s="202" t="s">
        <v>7</v>
      </c>
      <c r="S8" s="203" t="s">
        <v>8</v>
      </c>
      <c r="U8" s="195" t="s">
        <v>3</v>
      </c>
      <c r="V8" s="195"/>
      <c r="W8" s="195"/>
      <c r="Y8" s="195" t="s">
        <v>4</v>
      </c>
      <c r="Z8" s="195"/>
      <c r="AA8" s="195"/>
      <c r="AC8" s="202" t="s">
        <v>6</v>
      </c>
      <c r="AE8" s="203" t="s">
        <v>10</v>
      </c>
      <c r="AG8" s="202" t="s">
        <v>7</v>
      </c>
      <c r="AI8" s="203" t="s">
        <v>8</v>
      </c>
      <c r="AK8" s="204" t="s">
        <v>164</v>
      </c>
    </row>
    <row r="9" spans="1:39" ht="46.5" customHeight="1" thickBot="1" x14ac:dyDescent="0.7">
      <c r="A9" s="188"/>
      <c r="C9" s="190"/>
      <c r="E9" s="190"/>
      <c r="G9" s="190"/>
      <c r="I9" s="190"/>
      <c r="K9" s="190"/>
      <c r="M9" s="190"/>
      <c r="O9" s="195"/>
      <c r="Q9" s="195"/>
      <c r="S9" s="200"/>
      <c r="U9" s="92" t="s">
        <v>6</v>
      </c>
      <c r="W9" s="97" t="s">
        <v>7</v>
      </c>
      <c r="Y9" s="92" t="s">
        <v>6</v>
      </c>
      <c r="AA9" s="92" t="s">
        <v>9</v>
      </c>
      <c r="AC9" s="195"/>
      <c r="AE9" s="200"/>
      <c r="AG9" s="195"/>
      <c r="AI9" s="200"/>
      <c r="AK9" s="190"/>
      <c r="AM9" s="115"/>
    </row>
    <row r="10" spans="1:39" ht="46.5" customHeight="1" thickBot="1" x14ac:dyDescent="0.7">
      <c r="A10" s="116" t="s">
        <v>50</v>
      </c>
      <c r="C10" s="42" t="s">
        <v>51</v>
      </c>
      <c r="D10" s="42"/>
      <c r="E10" s="42" t="s">
        <v>51</v>
      </c>
      <c r="F10" s="42"/>
      <c r="G10" s="42" t="s">
        <v>52</v>
      </c>
      <c r="H10" s="42"/>
      <c r="I10" s="42" t="s">
        <v>53</v>
      </c>
      <c r="J10" s="42"/>
      <c r="K10" s="117">
        <v>18</v>
      </c>
      <c r="L10" s="117"/>
      <c r="M10" s="118">
        <v>23.5</v>
      </c>
      <c r="N10" s="42"/>
      <c r="O10" s="141">
        <v>1989000</v>
      </c>
      <c r="P10" s="142"/>
      <c r="Q10" s="141">
        <v>1989419274458</v>
      </c>
      <c r="R10" s="142"/>
      <c r="S10" s="141">
        <v>1987557975000</v>
      </c>
      <c r="T10" s="142"/>
      <c r="U10" s="141">
        <v>0</v>
      </c>
      <c r="V10" s="142"/>
      <c r="W10" s="141">
        <v>0</v>
      </c>
      <c r="X10" s="142"/>
      <c r="Y10" s="141">
        <v>-1095000</v>
      </c>
      <c r="Z10" s="142"/>
      <c r="AA10" s="141">
        <v>1094697125000</v>
      </c>
      <c r="AB10" s="142"/>
      <c r="AC10" s="141">
        <f>O10+U10+Y10</f>
        <v>894000</v>
      </c>
      <c r="AD10" s="142"/>
      <c r="AE10" s="142">
        <v>4000000</v>
      </c>
      <c r="AF10" s="142"/>
      <c r="AG10" s="141">
        <v>894211150567</v>
      </c>
      <c r="AH10" s="142"/>
      <c r="AI10" s="141">
        <v>893351850000</v>
      </c>
      <c r="AJ10" s="143"/>
      <c r="AK10" s="144">
        <f>AI10/57446223997977*100</f>
        <v>1.5551097841199446</v>
      </c>
      <c r="AM10" s="119"/>
    </row>
    <row r="11" spans="1:39" ht="46.5" customHeight="1" thickBot="1" x14ac:dyDescent="0.7">
      <c r="A11" s="114"/>
      <c r="C11" s="117"/>
      <c r="D11" s="42"/>
      <c r="E11" s="117"/>
      <c r="F11" s="42"/>
      <c r="G11" s="117"/>
      <c r="H11" s="42"/>
      <c r="I11" s="117"/>
      <c r="J11" s="42"/>
      <c r="K11" s="117"/>
      <c r="L11" s="42"/>
      <c r="M11" s="117"/>
      <c r="N11" s="42"/>
      <c r="O11" s="145">
        <f>SUM(O10)</f>
        <v>1989000</v>
      </c>
      <c r="P11" s="142"/>
      <c r="Q11" s="145">
        <f>SUM(Q10)</f>
        <v>1989419274458</v>
      </c>
      <c r="R11" s="142"/>
      <c r="S11" s="145">
        <f>SUM(S10)</f>
        <v>1987557975000</v>
      </c>
      <c r="T11" s="142"/>
      <c r="U11" s="145">
        <f>SUM(U10)</f>
        <v>0</v>
      </c>
      <c r="V11" s="142"/>
      <c r="W11" s="145">
        <f>SUM(W10)</f>
        <v>0</v>
      </c>
      <c r="X11" s="142"/>
      <c r="Y11" s="145">
        <f>SUM(Y10)</f>
        <v>-1095000</v>
      </c>
      <c r="Z11" s="142"/>
      <c r="AA11" s="145">
        <f>SUM(AA10)</f>
        <v>1094697125000</v>
      </c>
      <c r="AB11" s="142"/>
      <c r="AC11" s="145">
        <f>SUM(AC10:AC10)</f>
        <v>894000</v>
      </c>
      <c r="AD11" s="142"/>
      <c r="AE11" s="142"/>
      <c r="AF11" s="142"/>
      <c r="AG11" s="145">
        <f>SUM(AG10:AG10)</f>
        <v>894211150567</v>
      </c>
      <c r="AH11" s="142"/>
      <c r="AI11" s="145">
        <f>SUM(AI10:AI10)</f>
        <v>893351850000</v>
      </c>
      <c r="AJ11" s="143"/>
      <c r="AK11" s="146">
        <f>SUM(AK10:AK10)</f>
        <v>1.5551097841199446</v>
      </c>
    </row>
    <row r="12" spans="1:39" ht="28.5" thickTop="1" x14ac:dyDescent="0.65"/>
    <row r="13" spans="1:39" hidden="1" x14ac:dyDescent="0.65">
      <c r="O13" s="78"/>
      <c r="P13" s="78"/>
      <c r="Q13" s="78">
        <v>464129399463</v>
      </c>
      <c r="R13" s="78"/>
      <c r="S13" s="78">
        <v>463663600000</v>
      </c>
      <c r="T13" s="78"/>
      <c r="U13" s="78">
        <v>1130000</v>
      </c>
      <c r="V13" s="78"/>
      <c r="W13" s="78">
        <v>1130233249998</v>
      </c>
      <c r="X13" s="78"/>
      <c r="Y13" s="78">
        <v>-50000</v>
      </c>
      <c r="Z13" s="78"/>
      <c r="AA13" s="78">
        <v>-49963750000</v>
      </c>
      <c r="AB13" s="78"/>
      <c r="AC13" s="78">
        <f>O10+U10+Y10</f>
        <v>894000</v>
      </c>
      <c r="AD13" s="78"/>
      <c r="AE13" s="78"/>
      <c r="AF13" s="78"/>
      <c r="AG13" s="78">
        <v>1544348899461</v>
      </c>
      <c r="AH13" s="78"/>
      <c r="AI13" s="78">
        <v>-1468299461</v>
      </c>
      <c r="AJ13" s="119"/>
      <c r="AK13" s="120">
        <v>1.1499999999999999</v>
      </c>
    </row>
    <row r="14" spans="1:39" hidden="1" x14ac:dyDescent="0.65">
      <c r="O14" s="78"/>
      <c r="P14" s="78"/>
      <c r="Q14" s="78">
        <f>Q13-Q11</f>
        <v>-1525289874995</v>
      </c>
      <c r="R14" s="78"/>
      <c r="S14" s="78">
        <f>S13-S11</f>
        <v>-1523894375000</v>
      </c>
      <c r="T14" s="78"/>
      <c r="U14" s="78">
        <f>U13-U11</f>
        <v>1130000</v>
      </c>
      <c r="V14" s="78"/>
      <c r="W14" s="78">
        <f>W13-W11</f>
        <v>1130233249998</v>
      </c>
      <c r="X14" s="78"/>
      <c r="Y14" s="78">
        <f>Y13-Y11</f>
        <v>1045000</v>
      </c>
      <c r="Z14" s="78"/>
      <c r="AA14" s="78">
        <f>AA13-AA11</f>
        <v>-1144660875000</v>
      </c>
      <c r="AB14" s="78"/>
      <c r="AC14" s="78">
        <f>AC13-AC11</f>
        <v>0</v>
      </c>
      <c r="AD14" s="78"/>
      <c r="AE14" s="78"/>
      <c r="AF14" s="78"/>
      <c r="AG14" s="78">
        <f>AG13-AG11</f>
        <v>650137748894</v>
      </c>
      <c r="AH14" s="78"/>
      <c r="AI14" s="78">
        <f>AG13+AI13</f>
        <v>1542880600000</v>
      </c>
      <c r="AJ14" s="119"/>
      <c r="AK14" s="119">
        <f>AK13-AK11</f>
        <v>-0.40510978411994469</v>
      </c>
    </row>
    <row r="15" spans="1:39" hidden="1" x14ac:dyDescent="0.65"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>
        <f>AI14-AI11</f>
        <v>649528750000</v>
      </c>
      <c r="AJ15" s="119"/>
      <c r="AK15" s="119"/>
    </row>
    <row r="17" spans="15:37" x14ac:dyDescent="0.65"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</row>
    <row r="18" spans="15:37" x14ac:dyDescent="0.65"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</row>
    <row r="19" spans="15:37" x14ac:dyDescent="0.65">
      <c r="O19" s="23"/>
      <c r="P19" s="23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</row>
    <row r="20" spans="15:37" x14ac:dyDescent="0.65">
      <c r="O20" s="23"/>
      <c r="P20" s="23"/>
      <c r="S20" s="78"/>
      <c r="T20" s="78"/>
      <c r="U20" s="78"/>
      <c r="AJ20" s="77"/>
      <c r="AK20" s="77"/>
    </row>
    <row r="21" spans="15:37" x14ac:dyDescent="0.65">
      <c r="O21" s="23"/>
      <c r="P21" s="23"/>
      <c r="AJ21" s="77"/>
      <c r="AK21" s="77"/>
    </row>
    <row r="22" spans="15:37" x14ac:dyDescent="0.65">
      <c r="O22" s="23"/>
      <c r="P22" s="23"/>
      <c r="AJ22" s="77"/>
      <c r="AK22" s="77"/>
    </row>
    <row r="23" spans="15:37" x14ac:dyDescent="0.65">
      <c r="O23" s="23"/>
      <c r="P23" s="23"/>
      <c r="AJ23" s="77"/>
      <c r="AK23" s="77"/>
    </row>
  </sheetData>
  <mergeCells count="26">
    <mergeCell ref="AE8:AE9"/>
    <mergeCell ref="AC8:AC9"/>
    <mergeCell ref="AG8:AG9"/>
    <mergeCell ref="AI8:AI9"/>
    <mergeCell ref="AK8:AK9"/>
    <mergeCell ref="A5:AK5"/>
    <mergeCell ref="O7:S7"/>
    <mergeCell ref="U7:AA7"/>
    <mergeCell ref="AC7:AK7"/>
    <mergeCell ref="C7:M7"/>
    <mergeCell ref="A1:AK1"/>
    <mergeCell ref="A2:AK2"/>
    <mergeCell ref="A3:AK3"/>
    <mergeCell ref="C6:AK6"/>
    <mergeCell ref="U8:W8"/>
    <mergeCell ref="Y8:AA8"/>
    <mergeCell ref="O8:O9"/>
    <mergeCell ref="Q8:Q9"/>
    <mergeCell ref="S8:S9"/>
    <mergeCell ref="M8:M9"/>
    <mergeCell ref="K8:K9"/>
    <mergeCell ref="I8:I9"/>
    <mergeCell ref="G8:G9"/>
    <mergeCell ref="E8:E9"/>
    <mergeCell ref="C8:C9"/>
    <mergeCell ref="A8:A9"/>
  </mergeCells>
  <pageMargins left="0.39" right="0.39" top="0.39" bottom="0.39" header="0" footer="0"/>
  <pageSetup paperSize="9" scale="2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6"/>
  <sheetViews>
    <sheetView rightToLeft="1" view="pageBreakPreview" topLeftCell="A10" zoomScaleNormal="100" zoomScaleSheetLayoutView="100" workbookViewId="0">
      <selection activeCell="N23" sqref="N23"/>
    </sheetView>
  </sheetViews>
  <sheetFormatPr defaultColWidth="9.140625" defaultRowHeight="15.75" x14ac:dyDescent="0.4"/>
  <cols>
    <col min="1" max="1" width="30.28515625" style="17" customWidth="1"/>
    <col min="2" max="2" width="1.42578125" style="17" customWidth="1"/>
    <col min="3" max="3" width="27.5703125" style="68" customWidth="1"/>
    <col min="4" max="4" width="1.42578125" style="68" customWidth="1"/>
    <col min="5" max="5" width="27.140625" style="68" bestFit="1" customWidth="1"/>
    <col min="6" max="6" width="1.42578125" style="68" customWidth="1"/>
    <col min="7" max="7" width="28.42578125" style="68" bestFit="1" customWidth="1"/>
    <col min="8" max="8" width="1.42578125" style="68" customWidth="1"/>
    <col min="9" max="9" width="26.140625" style="68" bestFit="1" customWidth="1"/>
    <col min="10" max="10" width="1.42578125" style="17" customWidth="1"/>
    <col min="11" max="11" width="27.28515625" style="17" bestFit="1" customWidth="1"/>
    <col min="12" max="12" width="1.42578125" style="17" customWidth="1"/>
    <col min="13" max="13" width="22.7109375" style="17" hidden="1" customWidth="1"/>
    <col min="14" max="16384" width="9.140625" style="17"/>
  </cols>
  <sheetData>
    <row r="1" spans="1:13" ht="39" customHeight="1" x14ac:dyDescent="0.4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3" ht="39" customHeight="1" x14ac:dyDescent="0.4">
      <c r="A2" s="193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13" ht="39" customHeight="1" x14ac:dyDescent="0.4">
      <c r="A3" s="193" t="str">
        <f>سهام!A3</f>
        <v>به تاریخ 30 مهر 1405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</row>
    <row r="4" spans="1:13" ht="39" customHeight="1" x14ac:dyDescent="0.4"/>
    <row r="5" spans="1:13" ht="39" customHeight="1" x14ac:dyDescent="0.4">
      <c r="A5" s="192" t="s">
        <v>106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</row>
    <row r="6" spans="1:13" ht="39" customHeight="1" x14ac:dyDescent="0.4">
      <c r="A6" s="11"/>
      <c r="B6" s="11"/>
      <c r="C6" s="191" t="s">
        <v>102</v>
      </c>
      <c r="D6" s="191"/>
      <c r="E6" s="191"/>
      <c r="F6" s="191"/>
      <c r="G6" s="191"/>
      <c r="H6" s="191"/>
      <c r="I6" s="191"/>
      <c r="J6" s="191"/>
      <c r="K6" s="191"/>
    </row>
    <row r="7" spans="1:13" ht="39" customHeight="1" thickBot="1" x14ac:dyDescent="0.45">
      <c r="A7" s="42"/>
      <c r="B7" s="42"/>
      <c r="C7" s="92" t="str">
        <f>سهام!C8</f>
        <v>1405/06/31</v>
      </c>
      <c r="D7" s="78"/>
      <c r="E7" s="195" t="s">
        <v>2</v>
      </c>
      <c r="F7" s="195"/>
      <c r="G7" s="195"/>
      <c r="H7" s="78"/>
      <c r="I7" s="188" t="str">
        <f>سهام!Q8</f>
        <v>1405/07/30</v>
      </c>
      <c r="J7" s="188"/>
      <c r="K7" s="188"/>
    </row>
    <row r="8" spans="1:13" ht="39" customHeight="1" thickBot="1" x14ac:dyDescent="0.45">
      <c r="A8" s="41" t="s">
        <v>163</v>
      </c>
      <c r="B8" s="42"/>
      <c r="C8" s="92" t="s">
        <v>55</v>
      </c>
      <c r="D8" s="78"/>
      <c r="E8" s="92" t="s">
        <v>56</v>
      </c>
      <c r="F8" s="78"/>
      <c r="G8" s="92" t="s">
        <v>57</v>
      </c>
      <c r="H8" s="78"/>
      <c r="I8" s="92" t="s">
        <v>55</v>
      </c>
      <c r="J8" s="42"/>
      <c r="K8" s="41" t="s">
        <v>164</v>
      </c>
    </row>
    <row r="9" spans="1:13" ht="39" customHeight="1" x14ac:dyDescent="0.6">
      <c r="A9" s="61" t="s">
        <v>177</v>
      </c>
      <c r="B9" s="18"/>
      <c r="C9" s="147">
        <v>2110054936994</v>
      </c>
      <c r="D9" s="37"/>
      <c r="E9" s="147">
        <v>6708484253974</v>
      </c>
      <c r="F9" s="37"/>
      <c r="G9" s="37">
        <v>-8336055488005</v>
      </c>
      <c r="H9" s="37"/>
      <c r="I9" s="147">
        <f>C9+E9+G9</f>
        <v>482483702963</v>
      </c>
      <c r="J9" s="34"/>
      <c r="K9" s="148">
        <f>I9/57446223997977*100</f>
        <v>0.83988758422135956</v>
      </c>
      <c r="M9" s="64" t="e">
        <f>اوراق!#REF!</f>
        <v>#REF!</v>
      </c>
    </row>
    <row r="10" spans="1:13" ht="39" customHeight="1" x14ac:dyDescent="0.6">
      <c r="A10" s="34" t="s">
        <v>105</v>
      </c>
      <c r="B10" s="18"/>
      <c r="C10" s="37">
        <v>123451982</v>
      </c>
      <c r="D10" s="37"/>
      <c r="E10" s="37">
        <v>134640505</v>
      </c>
      <c r="F10" s="37"/>
      <c r="G10" s="37">
        <v>-136750955</v>
      </c>
      <c r="H10" s="37"/>
      <c r="I10" s="37">
        <f>C10+E10+G10</f>
        <v>121341532</v>
      </c>
      <c r="J10" s="34"/>
      <c r="K10" s="149">
        <f t="shared" ref="K10:K12" si="0">I10/57446223997977*100</f>
        <v>2.1122629749219566E-4</v>
      </c>
    </row>
    <row r="11" spans="1:13" ht="39" customHeight="1" x14ac:dyDescent="0.6">
      <c r="A11" s="34" t="s">
        <v>104</v>
      </c>
      <c r="B11" s="18"/>
      <c r="C11" s="37">
        <v>49654981</v>
      </c>
      <c r="D11" s="37"/>
      <c r="E11" s="37">
        <v>0</v>
      </c>
      <c r="F11" s="37"/>
      <c r="G11" s="37">
        <v>-1267002</v>
      </c>
      <c r="H11" s="37"/>
      <c r="I11" s="37">
        <f>C11+E11+G11</f>
        <v>48387979</v>
      </c>
      <c r="J11" s="34"/>
      <c r="K11" s="149">
        <f t="shared" si="0"/>
        <v>8.4231783453171804E-5</v>
      </c>
    </row>
    <row r="12" spans="1:13" ht="39" customHeight="1" thickBot="1" x14ac:dyDescent="0.65">
      <c r="A12" s="34" t="s">
        <v>151</v>
      </c>
      <c r="B12" s="18"/>
      <c r="C12" s="150">
        <v>1355688</v>
      </c>
      <c r="D12" s="37"/>
      <c r="E12" s="150">
        <v>1000000</v>
      </c>
      <c r="F12" s="37"/>
      <c r="G12" s="150">
        <v>-1299000</v>
      </c>
      <c r="H12" s="37"/>
      <c r="I12" s="150">
        <f>C12+E12+G12</f>
        <v>1056688</v>
      </c>
      <c r="J12" s="34"/>
      <c r="K12" s="149">
        <f t="shared" si="0"/>
        <v>1.8394385678634194E-6</v>
      </c>
    </row>
    <row r="13" spans="1:13" ht="39" customHeight="1" thickBot="1" x14ac:dyDescent="0.65">
      <c r="A13" s="34"/>
      <c r="B13" s="18"/>
      <c r="C13" s="151">
        <f>SUM(C9:C12)</f>
        <v>2110229399645</v>
      </c>
      <c r="D13" s="53"/>
      <c r="E13" s="151">
        <f>SUM(E9:E12)</f>
        <v>6708619894479</v>
      </c>
      <c r="F13" s="53"/>
      <c r="G13" s="151">
        <f>SUM(G9:G12)</f>
        <v>-8336194804962</v>
      </c>
      <c r="H13" s="53"/>
      <c r="I13" s="151">
        <f>SUM(I9:I12)</f>
        <v>482654489162</v>
      </c>
      <c r="J13" s="48"/>
      <c r="K13" s="140">
        <f>SUM(K9:K12)</f>
        <v>0.8401848817408728</v>
      </c>
    </row>
    <row r="14" spans="1:13" ht="16.5" thickTop="1" x14ac:dyDescent="0.4"/>
    <row r="15" spans="1:13" ht="24.75" hidden="1" x14ac:dyDescent="0.4">
      <c r="C15" s="67">
        <v>1822251403962</v>
      </c>
      <c r="D15" s="67"/>
      <c r="E15" s="67">
        <v>5177727326516</v>
      </c>
      <c r="F15" s="67"/>
      <c r="G15" s="67">
        <v>-6676622271491</v>
      </c>
      <c r="H15" s="67"/>
      <c r="I15" s="65">
        <v>323356458987</v>
      </c>
      <c r="K15" s="44">
        <v>0.71</v>
      </c>
    </row>
    <row r="16" spans="1:13" ht="24.75" hidden="1" x14ac:dyDescent="0.4">
      <c r="C16" s="65">
        <f>C15-C13</f>
        <v>-287977995683</v>
      </c>
      <c r="E16" s="65">
        <f>E15-E13</f>
        <v>-1530892567963</v>
      </c>
      <c r="F16" s="65"/>
      <c r="G16" s="65">
        <f>G15-G13</f>
        <v>1659572533471</v>
      </c>
      <c r="H16" s="65"/>
      <c r="I16" s="65">
        <f>I15-I13</f>
        <v>-159298030175</v>
      </c>
      <c r="K16" s="44">
        <f>K15-K13</f>
        <v>-0.13018488174087284</v>
      </c>
    </row>
  </sheetData>
  <sortState xmlns:xlrd2="http://schemas.microsoft.com/office/spreadsheetml/2017/richdata2" ref="A9:K12">
    <sortCondition descending="1" ref="I9:I12"/>
  </sortState>
  <mergeCells count="7">
    <mergeCell ref="A5:K5"/>
    <mergeCell ref="E7:G7"/>
    <mergeCell ref="I7:K7"/>
    <mergeCell ref="A1:K1"/>
    <mergeCell ref="A2:K2"/>
    <mergeCell ref="A3:K3"/>
    <mergeCell ref="C6:K6"/>
  </mergeCells>
  <pageMargins left="0.39" right="0.39" top="0.39" bottom="0.39" header="0" footer="0"/>
  <pageSetup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6"/>
  <sheetViews>
    <sheetView rightToLeft="1" view="pageBreakPreview" topLeftCell="A4" zoomScaleNormal="100" zoomScaleSheetLayoutView="100" workbookViewId="0">
      <selection activeCell="G23" sqref="G23"/>
    </sheetView>
  </sheetViews>
  <sheetFormatPr defaultColWidth="9.140625" defaultRowHeight="15.75" x14ac:dyDescent="0.4"/>
  <cols>
    <col min="1" max="1" width="68" style="19" bestFit="1" customWidth="1"/>
    <col min="2" max="2" width="1.42578125" style="19" customWidth="1"/>
    <col min="3" max="3" width="21.5703125" style="19" customWidth="1"/>
    <col min="4" max="4" width="1.42578125" style="19" customWidth="1"/>
    <col min="5" max="5" width="28.7109375" style="19" bestFit="1" customWidth="1"/>
    <col min="6" max="6" width="1.42578125" style="19" customWidth="1"/>
    <col min="7" max="7" width="28.7109375" style="19" customWidth="1"/>
    <col min="8" max="8" width="1.42578125" style="19" customWidth="1"/>
    <col min="9" max="9" width="26.85546875" style="19" customWidth="1"/>
    <col min="10" max="10" width="1.42578125" style="19" customWidth="1"/>
    <col min="11" max="11" width="15.42578125" style="19" bestFit="1" customWidth="1"/>
    <col min="12" max="14" width="13.28515625" style="19" bestFit="1" customWidth="1"/>
    <col min="15" max="15" width="10.7109375" style="19" bestFit="1" customWidth="1"/>
    <col min="16" max="16" width="15.42578125" style="19" bestFit="1" customWidth="1"/>
    <col min="17" max="16384" width="9.140625" style="19"/>
  </cols>
  <sheetData>
    <row r="1" spans="1:9" ht="39" customHeight="1" x14ac:dyDescent="0.4">
      <c r="A1" s="208" t="s">
        <v>0</v>
      </c>
      <c r="B1" s="208"/>
      <c r="C1" s="208"/>
      <c r="D1" s="208"/>
      <c r="E1" s="208"/>
      <c r="F1" s="208"/>
      <c r="G1" s="208"/>
      <c r="H1" s="208"/>
      <c r="I1" s="208"/>
    </row>
    <row r="2" spans="1:9" ht="39" customHeight="1" x14ac:dyDescent="0.4">
      <c r="A2" s="208" t="s">
        <v>58</v>
      </c>
      <c r="B2" s="208"/>
      <c r="C2" s="208"/>
      <c r="D2" s="208"/>
      <c r="E2" s="208"/>
      <c r="F2" s="208"/>
      <c r="G2" s="208"/>
      <c r="H2" s="208"/>
      <c r="I2" s="208"/>
    </row>
    <row r="3" spans="1:9" ht="39" customHeight="1" x14ac:dyDescent="0.4">
      <c r="A3" s="208" t="s">
        <v>186</v>
      </c>
      <c r="B3" s="208"/>
      <c r="C3" s="208"/>
      <c r="D3" s="208"/>
      <c r="E3" s="208"/>
      <c r="F3" s="208"/>
      <c r="G3" s="208"/>
      <c r="H3" s="208"/>
      <c r="I3" s="208"/>
    </row>
    <row r="4" spans="1:9" ht="39" customHeight="1" x14ac:dyDescent="0.4"/>
    <row r="5" spans="1:9" ht="39" customHeight="1" x14ac:dyDescent="0.4">
      <c r="A5" s="207" t="s">
        <v>167</v>
      </c>
      <c r="B5" s="207"/>
      <c r="C5" s="207"/>
      <c r="D5" s="207"/>
      <c r="E5" s="207"/>
      <c r="F5" s="207"/>
      <c r="G5" s="207"/>
      <c r="H5" s="207"/>
      <c r="I5" s="207"/>
    </row>
    <row r="6" spans="1:9" ht="39" customHeight="1" x14ac:dyDescent="0.4">
      <c r="C6" s="206" t="s">
        <v>102</v>
      </c>
      <c r="D6" s="206"/>
      <c r="E6" s="206"/>
      <c r="F6" s="206"/>
      <c r="G6" s="206"/>
      <c r="H6" s="206"/>
      <c r="I6" s="206"/>
    </row>
    <row r="7" spans="1:9" ht="39" customHeight="1" thickBot="1" x14ac:dyDescent="0.7">
      <c r="A7" s="38" t="s">
        <v>59</v>
      </c>
      <c r="B7" s="58"/>
      <c r="C7" s="38" t="s">
        <v>60</v>
      </c>
      <c r="D7" s="58"/>
      <c r="E7" s="38" t="s">
        <v>55</v>
      </c>
      <c r="F7" s="58"/>
      <c r="G7" s="38" t="s">
        <v>61</v>
      </c>
      <c r="H7" s="58"/>
      <c r="I7" s="38" t="s">
        <v>166</v>
      </c>
    </row>
    <row r="8" spans="1:9" ht="39" customHeight="1" x14ac:dyDescent="0.6">
      <c r="A8" s="37" t="s">
        <v>159</v>
      </c>
      <c r="B8" s="21"/>
      <c r="C8" s="59" t="s">
        <v>107</v>
      </c>
      <c r="D8" s="21"/>
      <c r="E8" s="37">
        <f>'درآمد سرمایه گذاری در سهام'!S37</f>
        <v>31740119082988</v>
      </c>
      <c r="F8" s="37"/>
      <c r="G8" s="149">
        <f>E8/$E$13*100</f>
        <v>96.403454969375574</v>
      </c>
      <c r="H8" s="149"/>
      <c r="I8" s="149">
        <f>E8/57446223997977*100</f>
        <v>55.251880583318659</v>
      </c>
    </row>
    <row r="9" spans="1:9" ht="39" customHeight="1" x14ac:dyDescent="0.6">
      <c r="A9" s="37" t="s">
        <v>160</v>
      </c>
      <c r="B9" s="21"/>
      <c r="C9" s="59" t="s">
        <v>62</v>
      </c>
      <c r="D9" s="21"/>
      <c r="E9" s="37">
        <f>'درآمد سرمایه گذاری در صندوق'!S27</f>
        <v>917711524985</v>
      </c>
      <c r="F9" s="37"/>
      <c r="G9" s="149">
        <f t="shared" ref="G9:G12" si="0">E9/$E$13*100</f>
        <v>2.7873418320344832</v>
      </c>
      <c r="H9" s="149"/>
      <c r="I9" s="149">
        <f t="shared" ref="I9:I12" si="1">E9/57446223997977*100</f>
        <v>1.5975140942550334</v>
      </c>
    </row>
    <row r="10" spans="1:9" ht="39" customHeight="1" x14ac:dyDescent="0.6">
      <c r="A10" s="37" t="s">
        <v>161</v>
      </c>
      <c r="B10" s="21"/>
      <c r="C10" s="59" t="s">
        <v>108</v>
      </c>
      <c r="D10" s="21"/>
      <c r="E10" s="37">
        <f>'درآمد سرمایه گذاری در اوراق به'!S12</f>
        <v>153828064533</v>
      </c>
      <c r="F10" s="37"/>
      <c r="G10" s="149">
        <f t="shared" si="0"/>
        <v>0.46721806094866164</v>
      </c>
      <c r="H10" s="149"/>
      <c r="I10" s="149">
        <f t="shared" si="1"/>
        <v>0.26777750359782942</v>
      </c>
    </row>
    <row r="11" spans="1:9" ht="39" customHeight="1" x14ac:dyDescent="0.6">
      <c r="A11" s="37" t="s">
        <v>162</v>
      </c>
      <c r="B11" s="21"/>
      <c r="C11" s="59" t="s">
        <v>109</v>
      </c>
      <c r="D11" s="21"/>
      <c r="E11" s="37">
        <f>'درآمد سپرده بانکی'!G13</f>
        <v>38274124329</v>
      </c>
      <c r="F11" s="37"/>
      <c r="G11" s="149">
        <f t="shared" si="0"/>
        <v>0.11624902262010295</v>
      </c>
      <c r="H11" s="149"/>
      <c r="I11" s="149">
        <f t="shared" si="1"/>
        <v>6.6626005445280162E-2</v>
      </c>
    </row>
    <row r="12" spans="1:9" ht="39" customHeight="1" thickBot="1" x14ac:dyDescent="0.65">
      <c r="A12" s="37" t="s">
        <v>63</v>
      </c>
      <c r="B12" s="21"/>
      <c r="C12" s="59" t="s">
        <v>110</v>
      </c>
      <c r="D12" s="21"/>
      <c r="E12" s="150">
        <f>'سایر درآمدها'!E10</f>
        <v>74321933528</v>
      </c>
      <c r="F12" s="37"/>
      <c r="G12" s="152">
        <f t="shared" si="0"/>
        <v>0.22573611502118449</v>
      </c>
      <c r="H12" s="149"/>
      <c r="I12" s="152">
        <f t="shared" si="1"/>
        <v>0.12937653400964577</v>
      </c>
    </row>
    <row r="13" spans="1:9" ht="39" customHeight="1" thickBot="1" x14ac:dyDescent="0.65">
      <c r="A13" s="37"/>
      <c r="B13" s="21"/>
      <c r="C13" s="60"/>
      <c r="D13" s="21"/>
      <c r="E13" s="151">
        <f>SUM(E8:E12)</f>
        <v>32924254730363</v>
      </c>
      <c r="F13" s="53"/>
      <c r="G13" s="151">
        <f>SUM(G8:G12)</f>
        <v>100.00000000000001</v>
      </c>
      <c r="H13" s="53"/>
      <c r="I13" s="153">
        <f>SUM(I8:I12)</f>
        <v>57.313174720626442</v>
      </c>
    </row>
    <row r="14" spans="1:9" ht="16.5" thickTop="1" x14ac:dyDescent="0.4"/>
    <row r="15" spans="1:9" ht="24.75" hidden="1" x14ac:dyDescent="0.4">
      <c r="E15" s="25">
        <v>16037423757417</v>
      </c>
    </row>
    <row r="16" spans="1:9" ht="24.75" hidden="1" x14ac:dyDescent="0.4">
      <c r="E16" s="25">
        <f>E15-E13</f>
        <v>-16886830972946</v>
      </c>
    </row>
  </sheetData>
  <mergeCells count="5">
    <mergeCell ref="C6:I6"/>
    <mergeCell ref="A5:I5"/>
    <mergeCell ref="A1:I1"/>
    <mergeCell ref="A2:I2"/>
    <mergeCell ref="A3:I3"/>
  </mergeCells>
  <pageMargins left="0.39" right="0.39" top="0.39" bottom="0.39" header="0" footer="0"/>
  <pageSetup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rightToLeft="1" view="pageBreakPreview" topLeftCell="A25" zoomScale="70" zoomScaleNormal="100" zoomScaleSheetLayoutView="70" workbookViewId="0">
      <selection activeCell="I49" sqref="I49"/>
    </sheetView>
  </sheetViews>
  <sheetFormatPr defaultColWidth="9.140625" defaultRowHeight="15.75" x14ac:dyDescent="0.4"/>
  <cols>
    <col min="1" max="1" width="60.42578125" style="68" bestFit="1" customWidth="1"/>
    <col min="2" max="2" width="1.42578125" style="68" customWidth="1"/>
    <col min="3" max="3" width="21.7109375" style="68" bestFit="1" customWidth="1"/>
    <col min="4" max="4" width="1.42578125" style="68" customWidth="1"/>
    <col min="5" max="5" width="24.5703125" style="68" bestFit="1" customWidth="1"/>
    <col min="6" max="6" width="1.42578125" style="68" customWidth="1"/>
    <col min="7" max="7" width="24.5703125" style="68" bestFit="1" customWidth="1"/>
    <col min="8" max="8" width="1.42578125" style="68" customWidth="1"/>
    <col min="9" max="9" width="24.5703125" style="68" bestFit="1" customWidth="1"/>
    <col min="10" max="10" width="1.42578125" style="19" customWidth="1"/>
    <col min="11" max="11" width="25.7109375" style="19" bestFit="1" customWidth="1"/>
    <col min="12" max="12" width="1.42578125" style="19" customWidth="1"/>
    <col min="13" max="13" width="24.5703125" style="68" bestFit="1" customWidth="1"/>
    <col min="14" max="14" width="1.42578125" style="68" customWidth="1"/>
    <col min="15" max="15" width="26" style="68" bestFit="1" customWidth="1"/>
    <col min="16" max="16" width="1.42578125" style="68" customWidth="1"/>
    <col min="17" max="17" width="24.5703125" style="68" bestFit="1" customWidth="1"/>
    <col min="18" max="18" width="1.42578125" style="68" customWidth="1"/>
    <col min="19" max="19" width="26" style="68" bestFit="1" customWidth="1"/>
    <col min="20" max="20" width="1.42578125" style="19" customWidth="1"/>
    <col min="21" max="21" width="25.7109375" style="19" bestFit="1" customWidth="1"/>
    <col min="22" max="22" width="1.42578125" style="19" customWidth="1"/>
    <col min="23" max="23" width="30.42578125" style="19" customWidth="1"/>
    <col min="24" max="16384" width="9.140625" style="19"/>
  </cols>
  <sheetData>
    <row r="1" spans="1:23" ht="40.5" customHeight="1" x14ac:dyDescent="0.4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</row>
    <row r="2" spans="1:23" ht="40.5" customHeight="1" x14ac:dyDescent="0.4">
      <c r="A2" s="208" t="s">
        <v>58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</row>
    <row r="3" spans="1:23" ht="40.5" customHeight="1" x14ac:dyDescent="0.4">
      <c r="A3" s="208" t="str">
        <f>درآمد!A3</f>
        <v>دوره یک ماهه منتهی به 30 مهر 1405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</row>
    <row r="4" spans="1:23" ht="40.5" customHeight="1" x14ac:dyDescent="0.4"/>
    <row r="5" spans="1:23" ht="40.5" customHeight="1" x14ac:dyDescent="0.4">
      <c r="A5" s="207" t="s">
        <v>158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</row>
    <row r="6" spans="1:23" ht="40.5" customHeight="1" x14ac:dyDescent="0.4">
      <c r="A6" s="90"/>
      <c r="B6" s="90"/>
      <c r="C6" s="209" t="s">
        <v>102</v>
      </c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</row>
    <row r="7" spans="1:23" ht="40.5" customHeight="1" thickBot="1" x14ac:dyDescent="0.7">
      <c r="A7" s="77"/>
      <c r="B7" s="77"/>
      <c r="C7" s="198" t="s">
        <v>190</v>
      </c>
      <c r="D7" s="198"/>
      <c r="E7" s="198"/>
      <c r="F7" s="198"/>
      <c r="G7" s="198"/>
      <c r="H7" s="198"/>
      <c r="I7" s="198"/>
      <c r="J7" s="198"/>
      <c r="K7" s="198"/>
      <c r="L7" s="27"/>
      <c r="M7" s="198" t="s">
        <v>191</v>
      </c>
      <c r="N7" s="198"/>
      <c r="O7" s="198"/>
      <c r="P7" s="198"/>
      <c r="Q7" s="198"/>
      <c r="R7" s="198"/>
      <c r="S7" s="198"/>
      <c r="T7" s="198"/>
      <c r="U7" s="198"/>
    </row>
    <row r="8" spans="1:23" ht="40.5" customHeight="1" thickBot="1" x14ac:dyDescent="0.8">
      <c r="A8" s="194" t="s">
        <v>64</v>
      </c>
      <c r="B8" s="91"/>
      <c r="C8" s="80" t="s">
        <v>65</v>
      </c>
      <c r="D8" s="80"/>
      <c r="E8" s="80" t="s">
        <v>66</v>
      </c>
      <c r="F8" s="80"/>
      <c r="G8" s="80" t="s">
        <v>67</v>
      </c>
      <c r="H8" s="91"/>
      <c r="I8" s="198" t="s">
        <v>29</v>
      </c>
      <c r="J8" s="198"/>
      <c r="K8" s="198"/>
      <c r="L8" s="40"/>
      <c r="M8" s="80" t="s">
        <v>65</v>
      </c>
      <c r="N8" s="80"/>
      <c r="O8" s="80" t="s">
        <v>66</v>
      </c>
      <c r="P8" s="80"/>
      <c r="Q8" s="80" t="s">
        <v>67</v>
      </c>
      <c r="R8" s="91"/>
      <c r="S8" s="198" t="s">
        <v>29</v>
      </c>
      <c r="T8" s="198"/>
      <c r="U8" s="198"/>
    </row>
    <row r="9" spans="1:23" ht="40.5" customHeight="1" thickBot="1" x14ac:dyDescent="0.8">
      <c r="A9" s="195"/>
      <c r="B9" s="91"/>
      <c r="C9" s="92" t="s">
        <v>111</v>
      </c>
      <c r="D9" s="80"/>
      <c r="E9" s="92" t="s">
        <v>112</v>
      </c>
      <c r="F9" s="80"/>
      <c r="G9" s="92" t="s">
        <v>113</v>
      </c>
      <c r="H9" s="91"/>
      <c r="I9" s="92" t="s">
        <v>55</v>
      </c>
      <c r="J9" s="40"/>
      <c r="K9" s="38" t="s">
        <v>61</v>
      </c>
      <c r="L9" s="40"/>
      <c r="M9" s="92" t="s">
        <v>111</v>
      </c>
      <c r="N9" s="80"/>
      <c r="O9" s="92" t="s">
        <v>112</v>
      </c>
      <c r="P9" s="80"/>
      <c r="Q9" s="92" t="s">
        <v>113</v>
      </c>
      <c r="R9" s="91"/>
      <c r="S9" s="92" t="s">
        <v>55</v>
      </c>
      <c r="T9" s="40"/>
      <c r="U9" s="38" t="s">
        <v>61</v>
      </c>
    </row>
    <row r="10" spans="1:23" ht="40.5" customHeight="1" x14ac:dyDescent="0.6">
      <c r="A10" s="76" t="s">
        <v>24</v>
      </c>
      <c r="B10" s="93"/>
      <c r="C10" s="37">
        <f>IFERROR(VLOOKUP(A10,'درآمد سود سهام'!A:M,7,0),0)</f>
        <v>0</v>
      </c>
      <c r="D10" s="37"/>
      <c r="E10" s="37">
        <f>IFERROR(VLOOKUP(A10,'درآمد ناشی از تغییر قیمت اوراق'!A:Q,9,0),0)</f>
        <v>536282241034</v>
      </c>
      <c r="F10" s="37"/>
      <c r="G10" s="37">
        <f>IFERROR(VLOOKUP(A10,'درآمد ناشی از فروش'!A:Q,9,0),0)</f>
        <v>0</v>
      </c>
      <c r="H10" s="37"/>
      <c r="I10" s="37">
        <f>C10+E10+G10</f>
        <v>536282241034</v>
      </c>
      <c r="J10" s="37"/>
      <c r="K10" s="149">
        <f>I10/10229105894299*100</f>
        <v>5.2427088601447247</v>
      </c>
      <c r="L10" s="37"/>
      <c r="M10" s="37">
        <f>IFERROR(VLOOKUP(A10,'درآمد سود سهام'!A:M,9,0),0)</f>
        <v>144493495335</v>
      </c>
      <c r="N10" s="37"/>
      <c r="O10" s="37">
        <f>IFERROR(VLOOKUP(A10,'درآمد ناشی از تغییر قیمت اوراق'!A:Q,17,0),0)</f>
        <v>2665412476716</v>
      </c>
      <c r="P10" s="37"/>
      <c r="Q10" s="37">
        <f>IFERROR(VLOOKUP(A10,'درآمد ناشی از فروش'!A:Q,17,0),0)</f>
        <v>0</v>
      </c>
      <c r="R10" s="37"/>
      <c r="S10" s="37">
        <f>M10+O10+Q10</f>
        <v>2809905972051</v>
      </c>
      <c r="T10" s="37"/>
      <c r="U10" s="125">
        <f>S10/درآمد!$E$13*100</f>
        <v>8.5344558139980702</v>
      </c>
      <c r="W10" s="29"/>
    </row>
    <row r="11" spans="1:23" ht="40.5" customHeight="1" x14ac:dyDescent="0.6">
      <c r="A11" s="76" t="s">
        <v>19</v>
      </c>
      <c r="B11" s="93"/>
      <c r="C11" s="37">
        <f>IFERROR(VLOOKUP(A11,'درآمد سود سهام'!A:M,7,0),0)</f>
        <v>0</v>
      </c>
      <c r="D11" s="37"/>
      <c r="E11" s="37">
        <f>IFERROR(VLOOKUP(A11,'درآمد ناشی از تغییر قیمت اوراق'!A:Q,9,0),0)</f>
        <v>6660808507</v>
      </c>
      <c r="F11" s="37"/>
      <c r="G11" s="37">
        <f>IFERROR(VLOOKUP(A11,'درآمد ناشی از فروش'!A:Q,9,0),0)</f>
        <v>0</v>
      </c>
      <c r="H11" s="37"/>
      <c r="I11" s="37">
        <f t="shared" ref="I11:I36" si="0">C11+E11+G11</f>
        <v>6660808507</v>
      </c>
      <c r="J11" s="37"/>
      <c r="K11" s="149">
        <f t="shared" ref="K11:K36" si="1">I11/10229105894299*100</f>
        <v>6.511623377280977E-2</v>
      </c>
      <c r="L11" s="37"/>
      <c r="M11" s="37">
        <f>IFERROR(VLOOKUP(A11,'درآمد سود سهام'!A:M,9,0),0)</f>
        <v>2150282120</v>
      </c>
      <c r="N11" s="37"/>
      <c r="O11" s="37">
        <f>IFERROR(VLOOKUP(A11,'درآمد ناشی از تغییر قیمت اوراق'!A:Q,17,0),0)</f>
        <v>11510613780</v>
      </c>
      <c r="P11" s="37"/>
      <c r="Q11" s="37">
        <f>IFERROR(VLOOKUP(A11,'درآمد ناشی از فروش'!A:Q,17,0),0)</f>
        <v>0</v>
      </c>
      <c r="R11" s="37"/>
      <c r="S11" s="37">
        <f t="shared" ref="S11:S36" si="2">M11+O11+Q11</f>
        <v>13660895900</v>
      </c>
      <c r="T11" s="37"/>
      <c r="U11" s="125">
        <f>S11/درآمد!$E$13*100</f>
        <v>4.1491891044694834E-2</v>
      </c>
      <c r="W11" s="29"/>
    </row>
    <row r="12" spans="1:23" ht="40.5" customHeight="1" x14ac:dyDescent="0.6">
      <c r="A12" s="76" t="s">
        <v>15</v>
      </c>
      <c r="B12" s="93"/>
      <c r="C12" s="37">
        <f>IFERROR(VLOOKUP(A12,'درآمد سود سهام'!A:M,7,0),0)</f>
        <v>0</v>
      </c>
      <c r="D12" s="37"/>
      <c r="E12" s="37">
        <f>IFERROR(VLOOKUP(A12,'درآمد ناشی از تغییر قیمت اوراق'!A:Q,9,0),0)</f>
        <v>1625547570104</v>
      </c>
      <c r="F12" s="37"/>
      <c r="G12" s="37">
        <f>IFERROR(VLOOKUP(A12,'درآمد ناشی از فروش'!A:Q,9,0),0)</f>
        <v>216809239320</v>
      </c>
      <c r="H12" s="37"/>
      <c r="I12" s="37">
        <f t="shared" si="0"/>
        <v>1842356809424</v>
      </c>
      <c r="J12" s="37"/>
      <c r="K12" s="149">
        <f t="shared" si="1"/>
        <v>18.010927137344456</v>
      </c>
      <c r="L12" s="37"/>
      <c r="M12" s="37">
        <f>IFERROR(VLOOKUP(A12,'درآمد سود سهام'!A:M,9,0),0)</f>
        <v>0</v>
      </c>
      <c r="N12" s="37"/>
      <c r="O12" s="37">
        <f>IFERROR(VLOOKUP(A12,'درآمد ناشی از تغییر قیمت اوراق'!A:Q,17,0),0)</f>
        <v>3402377063341</v>
      </c>
      <c r="P12" s="37"/>
      <c r="Q12" s="37">
        <f>IFERROR(VLOOKUP(A12,'درآمد ناشی از فروش'!A:Q,17,0),0)</f>
        <v>2931280257465</v>
      </c>
      <c r="R12" s="37"/>
      <c r="S12" s="37">
        <f t="shared" si="2"/>
        <v>6333657320806</v>
      </c>
      <c r="T12" s="37"/>
      <c r="U12" s="125">
        <f>S12/درآمد!$E$13*100</f>
        <v>19.237056002257972</v>
      </c>
      <c r="W12" s="29"/>
    </row>
    <row r="13" spans="1:23" ht="40.5" customHeight="1" x14ac:dyDescent="0.6">
      <c r="A13" s="76" t="s">
        <v>27</v>
      </c>
      <c r="B13" s="93"/>
      <c r="C13" s="37">
        <f>IFERROR(VLOOKUP(A13,'درآمد سود سهام'!A:M,7,0),0)</f>
        <v>0</v>
      </c>
      <c r="D13" s="37"/>
      <c r="E13" s="37">
        <f>IFERROR(VLOOKUP(A13,'درآمد ناشی از تغییر قیمت اوراق'!A:Q,9,0),0)</f>
        <v>0</v>
      </c>
      <c r="F13" s="37"/>
      <c r="G13" s="37">
        <f>IFERROR(VLOOKUP(A13,'درآمد ناشی از فروش'!A:Q,9,0),0)</f>
        <v>0</v>
      </c>
      <c r="H13" s="37"/>
      <c r="I13" s="37">
        <f t="shared" si="0"/>
        <v>0</v>
      </c>
      <c r="J13" s="37"/>
      <c r="K13" s="149">
        <f t="shared" si="1"/>
        <v>0</v>
      </c>
      <c r="L13" s="37"/>
      <c r="M13" s="37">
        <f>IFERROR(VLOOKUP(A13,'درآمد سود سهام'!A:M,9,0),0)</f>
        <v>518726285538</v>
      </c>
      <c r="N13" s="37"/>
      <c r="O13" s="37">
        <f>IFERROR(VLOOKUP(A13,'درآمد ناشی از تغییر قیمت اوراق'!A:Q,17,0),0)</f>
        <v>0</v>
      </c>
      <c r="P13" s="37"/>
      <c r="Q13" s="37">
        <f>IFERROR(VLOOKUP(A13,'درآمد ناشی از فروش'!A:Q,17,0),0)</f>
        <v>1463842354527</v>
      </c>
      <c r="R13" s="37"/>
      <c r="S13" s="37">
        <f t="shared" si="2"/>
        <v>1982568640065</v>
      </c>
      <c r="T13" s="37"/>
      <c r="U13" s="125">
        <f>S13/درآمد!$E$13*100</f>
        <v>6.0216052156729916</v>
      </c>
      <c r="W13" s="29"/>
    </row>
    <row r="14" spans="1:23" ht="40.5" customHeight="1" x14ac:dyDescent="0.6">
      <c r="A14" s="76" t="s">
        <v>17</v>
      </c>
      <c r="B14" s="93"/>
      <c r="C14" s="37">
        <f>IFERROR(VLOOKUP(A14,'درآمد سود سهام'!A:M,7,0),0)</f>
        <v>0</v>
      </c>
      <c r="D14" s="37"/>
      <c r="E14" s="37">
        <f>IFERROR(VLOOKUP(A14,'درآمد ناشی از تغییر قیمت اوراق'!A:Q,9,0),0)</f>
        <v>131589480124</v>
      </c>
      <c r="F14" s="37"/>
      <c r="G14" s="37">
        <f>IFERROR(VLOOKUP(A14,'درآمد ناشی از فروش'!A:Q,9,0),0)</f>
        <v>273658264155</v>
      </c>
      <c r="H14" s="37"/>
      <c r="I14" s="37">
        <f t="shared" si="0"/>
        <v>405247744279</v>
      </c>
      <c r="J14" s="37"/>
      <c r="K14" s="149">
        <f t="shared" si="1"/>
        <v>3.961712279319126</v>
      </c>
      <c r="L14" s="37"/>
      <c r="M14" s="37">
        <f>IFERROR(VLOOKUP(A14,'درآمد سود سهام'!A:M,9,0),0)</f>
        <v>182024576514</v>
      </c>
      <c r="N14" s="37"/>
      <c r="O14" s="37">
        <f>IFERROR(VLOOKUP(A14,'درآمد ناشی از تغییر قیمت اوراق'!A:Q,17,0),0)</f>
        <v>462296219888</v>
      </c>
      <c r="P14" s="37"/>
      <c r="Q14" s="37">
        <f>IFERROR(VLOOKUP(A14,'درآمد ناشی از فروش'!A:Q,17,0),0)</f>
        <v>984044204822</v>
      </c>
      <c r="R14" s="37"/>
      <c r="S14" s="37">
        <f t="shared" si="2"/>
        <v>1628365001224</v>
      </c>
      <c r="T14" s="37"/>
      <c r="U14" s="125">
        <f>S14/درآمد!$E$13*100</f>
        <v>4.9457915283418981</v>
      </c>
      <c r="W14" s="29"/>
    </row>
    <row r="15" spans="1:23" ht="40.5" customHeight="1" x14ac:dyDescent="0.6">
      <c r="A15" s="76" t="s">
        <v>138</v>
      </c>
      <c r="B15" s="93"/>
      <c r="C15" s="37">
        <f>IFERROR(VLOOKUP(A15,'درآمد سود سهام'!A:M,7,0),0)</f>
        <v>0</v>
      </c>
      <c r="D15" s="37"/>
      <c r="E15" s="37">
        <f>IFERROR(VLOOKUP(A15,'درآمد ناشی از تغییر قیمت اوراق'!A:Q,9,0),0)</f>
        <v>0</v>
      </c>
      <c r="F15" s="37"/>
      <c r="G15" s="37">
        <f>IFERROR(VLOOKUP(A15,'درآمد ناشی از فروش'!A:Q,9,0),0)</f>
        <v>0</v>
      </c>
      <c r="H15" s="37"/>
      <c r="I15" s="37">
        <f t="shared" si="0"/>
        <v>0</v>
      </c>
      <c r="J15" s="37"/>
      <c r="K15" s="149">
        <f t="shared" si="1"/>
        <v>0</v>
      </c>
      <c r="L15" s="37"/>
      <c r="M15" s="37">
        <f>IFERROR(VLOOKUP(A15,'درآمد سود سهام'!A:M,9,0),0)</f>
        <v>0</v>
      </c>
      <c r="N15" s="37"/>
      <c r="O15" s="37">
        <f>IFERROR(VLOOKUP(A15,'درآمد ناشی از تغییر قیمت اوراق'!A:Q,17,0),0)</f>
        <v>0</v>
      </c>
      <c r="P15" s="37"/>
      <c r="Q15" s="37">
        <f>IFERROR(VLOOKUP(A15,'درآمد ناشی از فروش'!A:Q,17,0),0)</f>
        <v>309155044757</v>
      </c>
      <c r="R15" s="37"/>
      <c r="S15" s="37">
        <f t="shared" si="2"/>
        <v>309155044757</v>
      </c>
      <c r="T15" s="37"/>
      <c r="U15" s="125">
        <f>S15/درآمد!$E$13*100</f>
        <v>0.93898874033402147</v>
      </c>
      <c r="W15" s="29"/>
    </row>
    <row r="16" spans="1:23" ht="40.5" customHeight="1" x14ac:dyDescent="0.6">
      <c r="A16" s="76" t="s">
        <v>137</v>
      </c>
      <c r="B16" s="93"/>
      <c r="C16" s="37">
        <f>IFERROR(VLOOKUP(A16,'درآمد سود سهام'!A:M,7,0),0)</f>
        <v>0</v>
      </c>
      <c r="D16" s="37"/>
      <c r="E16" s="37">
        <f>IFERROR(VLOOKUP(A16,'درآمد ناشی از تغییر قیمت اوراق'!A:Q,9,0),0)</f>
        <v>1347939384391</v>
      </c>
      <c r="F16" s="37"/>
      <c r="G16" s="37">
        <f>IFERROR(VLOOKUP(A16,'درآمد ناشی از فروش'!A:Q,9,0),0)</f>
        <v>600733999209</v>
      </c>
      <c r="H16" s="37"/>
      <c r="I16" s="37">
        <f t="shared" si="0"/>
        <v>1948673383600</v>
      </c>
      <c r="J16" s="37"/>
      <c r="K16" s="149">
        <f t="shared" si="1"/>
        <v>19.050280676887475</v>
      </c>
      <c r="L16" s="37"/>
      <c r="M16" s="37">
        <f>IFERROR(VLOOKUP(A16,'درآمد سود سهام'!A:M,9,0),0)</f>
        <v>0</v>
      </c>
      <c r="N16" s="37"/>
      <c r="O16" s="37">
        <f>IFERROR(VLOOKUP(A16,'درآمد ناشی از تغییر قیمت اوراق'!A:Q,17,0),0)</f>
        <v>4321554789868</v>
      </c>
      <c r="P16" s="37"/>
      <c r="Q16" s="37">
        <f>IFERROR(VLOOKUP(A16,'درآمد ناشی از فروش'!A:Q,17,0),0)</f>
        <v>1007017101789</v>
      </c>
      <c r="R16" s="37"/>
      <c r="S16" s="37">
        <f t="shared" si="2"/>
        <v>5328571891657</v>
      </c>
      <c r="T16" s="37"/>
      <c r="U16" s="125">
        <f>S16/درآمد!$E$13*100</f>
        <v>16.184335637346862</v>
      </c>
      <c r="W16" s="29"/>
    </row>
    <row r="17" spans="1:23" ht="40.5" customHeight="1" x14ac:dyDescent="0.6">
      <c r="A17" s="76" t="s">
        <v>25</v>
      </c>
      <c r="B17" s="93"/>
      <c r="C17" s="37">
        <f>IFERROR(VLOOKUP(A17,'درآمد سود سهام'!A:M,7,0),0)</f>
        <v>0</v>
      </c>
      <c r="D17" s="37"/>
      <c r="E17" s="37">
        <f>IFERROR(VLOOKUP(A17,'درآمد ناشی از تغییر قیمت اوراق'!A:Q,9,0),0)</f>
        <v>-139856127556</v>
      </c>
      <c r="F17" s="37"/>
      <c r="G17" s="37">
        <f>IFERROR(VLOOKUP(A17,'درآمد ناشی از فروش'!A:Q,9,0),0)</f>
        <v>139505863325</v>
      </c>
      <c r="H17" s="37"/>
      <c r="I17" s="37">
        <f t="shared" si="0"/>
        <v>-350264231</v>
      </c>
      <c r="J17" s="37"/>
      <c r="K17" s="149">
        <f t="shared" si="1"/>
        <v>-3.4241920517727085E-3</v>
      </c>
      <c r="L17" s="37"/>
      <c r="M17" s="37">
        <f>IFERROR(VLOOKUP(A17,'درآمد سود سهام'!A:M,9,0),0)</f>
        <v>128110500000</v>
      </c>
      <c r="N17" s="37"/>
      <c r="O17" s="37">
        <f>IFERROR(VLOOKUP(A17,'درآمد ناشی از تغییر قیمت اوراق'!A:Q,17,0),0)</f>
        <v>169466925359</v>
      </c>
      <c r="P17" s="37"/>
      <c r="Q17" s="37">
        <f>IFERROR(VLOOKUP(A17,'درآمد ناشی از فروش'!A:Q,17,0),0)</f>
        <v>432989088505</v>
      </c>
      <c r="R17" s="37"/>
      <c r="S17" s="37">
        <f t="shared" si="2"/>
        <v>730566513864</v>
      </c>
      <c r="T17" s="37"/>
      <c r="U17" s="125">
        <f>S17/درآمد!$E$13*100</f>
        <v>2.2189310581122008</v>
      </c>
      <c r="W17" s="29"/>
    </row>
    <row r="18" spans="1:23" ht="40.5" customHeight="1" x14ac:dyDescent="0.6">
      <c r="A18" s="76" t="s">
        <v>21</v>
      </c>
      <c r="B18" s="93"/>
      <c r="C18" s="37">
        <f>IFERROR(VLOOKUP(A18,'درآمد سود سهام'!A:M,7,0),0)</f>
        <v>0</v>
      </c>
      <c r="D18" s="37"/>
      <c r="E18" s="37">
        <f>IFERROR(VLOOKUP(A18,'درآمد ناشی از تغییر قیمت اوراق'!A:Q,9,0),0)</f>
        <v>3595875958632</v>
      </c>
      <c r="F18" s="37"/>
      <c r="G18" s="37">
        <f>IFERROR(VLOOKUP(A18,'درآمد ناشی از فروش'!A:Q,9,0),0)</f>
        <v>1089813824120</v>
      </c>
      <c r="H18" s="37"/>
      <c r="I18" s="37">
        <f t="shared" si="0"/>
        <v>4685689782752</v>
      </c>
      <c r="J18" s="37"/>
      <c r="K18" s="149">
        <f t="shared" si="1"/>
        <v>45.807422771558961</v>
      </c>
      <c r="L18" s="37"/>
      <c r="M18" s="37">
        <f>IFERROR(VLOOKUP(A18,'درآمد سود سهام'!A:M,9,0),0)</f>
        <v>0</v>
      </c>
      <c r="N18" s="37"/>
      <c r="O18" s="37">
        <f>IFERROR(VLOOKUP(A18,'درآمد ناشی از تغییر قیمت اوراق'!A:Q,17,0),0)</f>
        <v>8960507015769</v>
      </c>
      <c r="P18" s="37"/>
      <c r="Q18" s="37">
        <f>IFERROR(VLOOKUP(A18,'درآمد ناشی از فروش'!A:Q,17,0),0)</f>
        <v>2105696167597</v>
      </c>
      <c r="R18" s="37"/>
      <c r="S18" s="37">
        <f t="shared" si="2"/>
        <v>11066203183366</v>
      </c>
      <c r="T18" s="37"/>
      <c r="U18" s="125">
        <f>S18/درآمد!$E$13*100</f>
        <v>33.611096967855318</v>
      </c>
      <c r="W18" s="29"/>
    </row>
    <row r="19" spans="1:23" ht="40.5" customHeight="1" x14ac:dyDescent="0.6">
      <c r="A19" s="76" t="s">
        <v>23</v>
      </c>
      <c r="B19" s="93"/>
      <c r="C19" s="37">
        <f>IFERROR(VLOOKUP(A19,'درآمد سود سهام'!A:M,7,0),0)</f>
        <v>0</v>
      </c>
      <c r="D19" s="37"/>
      <c r="E19" s="37">
        <f>IFERROR(VLOOKUP(A19,'درآمد ناشی از تغییر قیمت اوراق'!A:Q,9,0),0)</f>
        <v>0</v>
      </c>
      <c r="F19" s="37"/>
      <c r="G19" s="37">
        <f>IFERROR(VLOOKUP(A19,'درآمد ناشی از فروش'!A:Q,9,0),0)</f>
        <v>0</v>
      </c>
      <c r="H19" s="37"/>
      <c r="I19" s="37">
        <f t="shared" si="0"/>
        <v>0</v>
      </c>
      <c r="J19" s="37"/>
      <c r="K19" s="149">
        <f t="shared" si="1"/>
        <v>0</v>
      </c>
      <c r="L19" s="37"/>
      <c r="M19" s="37">
        <f>IFERROR(VLOOKUP(A19,'درآمد سود سهام'!A:M,9,0),0)</f>
        <v>0</v>
      </c>
      <c r="N19" s="37"/>
      <c r="O19" s="37">
        <f>IFERROR(VLOOKUP(A19,'درآمد ناشی از تغییر قیمت اوراق'!A:Q,17,0),0)</f>
        <v>0</v>
      </c>
      <c r="P19" s="37"/>
      <c r="Q19" s="37">
        <f>IFERROR(VLOOKUP(A19,'درآمد ناشی از فروش'!A:Q,17,0),0)</f>
        <v>79420772715</v>
      </c>
      <c r="R19" s="37"/>
      <c r="S19" s="37">
        <f t="shared" si="2"/>
        <v>79420772715</v>
      </c>
      <c r="T19" s="37"/>
      <c r="U19" s="125">
        <f>S19/درآمد!$E$13*100</f>
        <v>0.24122268936814401</v>
      </c>
      <c r="W19" s="29"/>
    </row>
    <row r="20" spans="1:23" ht="40.5" customHeight="1" x14ac:dyDescent="0.6">
      <c r="A20" s="76" t="s">
        <v>14</v>
      </c>
      <c r="B20" s="93"/>
      <c r="C20" s="37">
        <f>IFERROR(VLOOKUP(A20,'درآمد سود سهام'!A:M,7,0),0)</f>
        <v>0</v>
      </c>
      <c r="D20" s="37"/>
      <c r="E20" s="37">
        <f>IFERROR(VLOOKUP(A20,'درآمد ناشی از تغییر قیمت اوراق'!A:Q,9,0),0)</f>
        <v>1618331653</v>
      </c>
      <c r="F20" s="37"/>
      <c r="G20" s="37">
        <f>IFERROR(VLOOKUP(A20,'درآمد ناشی از فروش'!A:Q,9,0),0)</f>
        <v>20815078495</v>
      </c>
      <c r="H20" s="37"/>
      <c r="I20" s="37">
        <f t="shared" si="0"/>
        <v>22433410148</v>
      </c>
      <c r="J20" s="37"/>
      <c r="K20" s="149">
        <f t="shared" si="1"/>
        <v>0.2193095895165465</v>
      </c>
      <c r="L20" s="37"/>
      <c r="M20" s="37">
        <f>IFERROR(VLOOKUP(A20,'درآمد سود سهام'!A:M,9,0),0)</f>
        <v>0</v>
      </c>
      <c r="N20" s="37"/>
      <c r="O20" s="37">
        <f>IFERROR(VLOOKUP(A20,'درآمد ناشی از تغییر قیمت اوراق'!A:Q,17,0),0)</f>
        <v>97639100855</v>
      </c>
      <c r="P20" s="37"/>
      <c r="Q20" s="37">
        <f>IFERROR(VLOOKUP(A20,'درآمد ناشی از فروش'!A:Q,17,0),0)</f>
        <v>112730170688</v>
      </c>
      <c r="R20" s="37"/>
      <c r="S20" s="37">
        <f t="shared" si="2"/>
        <v>210369271543</v>
      </c>
      <c r="T20" s="37"/>
      <c r="U20" s="125">
        <f>S20/درآمد!$E$13*100</f>
        <v>0.63894922836019685</v>
      </c>
      <c r="W20" s="29"/>
    </row>
    <row r="21" spans="1:23" ht="40.5" customHeight="1" x14ac:dyDescent="0.6">
      <c r="A21" s="76" t="s">
        <v>18</v>
      </c>
      <c r="B21" s="93"/>
      <c r="C21" s="37">
        <f>IFERROR(VLOOKUP(A21,'درآمد سود سهام'!A:M,7,0),0)</f>
        <v>0</v>
      </c>
      <c r="D21" s="37"/>
      <c r="E21" s="37">
        <f>IFERROR(VLOOKUP(A21,'درآمد ناشی از تغییر قیمت اوراق'!A:Q,9,0),0)</f>
        <v>-9448968238</v>
      </c>
      <c r="F21" s="37"/>
      <c r="G21" s="37">
        <f>IFERROR(VLOOKUP(A21,'درآمد ناشی از فروش'!A:Q,9,0),0)</f>
        <v>40422718930</v>
      </c>
      <c r="H21" s="37"/>
      <c r="I21" s="37">
        <f t="shared" si="0"/>
        <v>30973750692</v>
      </c>
      <c r="J21" s="37"/>
      <c r="K21" s="149">
        <f t="shared" si="1"/>
        <v>0.30280017639921625</v>
      </c>
      <c r="L21" s="37"/>
      <c r="M21" s="37">
        <f>IFERROR(VLOOKUP(A21,'درآمد سود سهام'!A:M,9,0),0)</f>
        <v>0</v>
      </c>
      <c r="N21" s="37"/>
      <c r="O21" s="37">
        <f>IFERROR(VLOOKUP(A21,'درآمد ناشی از تغییر قیمت اوراق'!A:Q,17,0),0)</f>
        <v>55302504113</v>
      </c>
      <c r="P21" s="37"/>
      <c r="Q21" s="37">
        <f>IFERROR(VLOOKUP(A21,'درآمد ناشی از فروش'!A:Q,17,0),0)</f>
        <v>110477129678</v>
      </c>
      <c r="R21" s="37"/>
      <c r="S21" s="37">
        <f t="shared" si="2"/>
        <v>165779633791</v>
      </c>
      <c r="T21" s="37"/>
      <c r="U21" s="125">
        <f>S21/درآمد!$E$13*100</f>
        <v>0.50351825773634518</v>
      </c>
      <c r="W21" s="29"/>
    </row>
    <row r="22" spans="1:23" ht="40.5" customHeight="1" x14ac:dyDescent="0.6">
      <c r="A22" s="76" t="s">
        <v>20</v>
      </c>
      <c r="B22" s="93"/>
      <c r="C22" s="37">
        <f>IFERROR(VLOOKUP(A22,'درآمد سود سهام'!A:M,7,0),0)</f>
        <v>0</v>
      </c>
      <c r="D22" s="37"/>
      <c r="E22" s="37">
        <f>IFERROR(VLOOKUP(A22,'درآمد ناشی از تغییر قیمت اوراق'!A:Q,9,0),0)</f>
        <v>-3997135668</v>
      </c>
      <c r="F22" s="37"/>
      <c r="G22" s="37">
        <f>IFERROR(VLOOKUP(A22,'درآمد ناشی از فروش'!A:Q,9,0),0)</f>
        <v>34528788848</v>
      </c>
      <c r="H22" s="37"/>
      <c r="I22" s="37">
        <f t="shared" si="0"/>
        <v>30531653180</v>
      </c>
      <c r="J22" s="37"/>
      <c r="K22" s="149">
        <f t="shared" si="1"/>
        <v>0.29847821985122125</v>
      </c>
      <c r="L22" s="37"/>
      <c r="M22" s="37">
        <f>IFERROR(VLOOKUP(A22,'درآمد سود سهام'!A:M,9,0),0)</f>
        <v>0</v>
      </c>
      <c r="N22" s="37"/>
      <c r="O22" s="37">
        <f>IFERROR(VLOOKUP(A22,'درآمد ناشی از تغییر قیمت اوراق'!A:Q,17,0),0)</f>
        <v>58167430777</v>
      </c>
      <c r="P22" s="37"/>
      <c r="Q22" s="37">
        <f>IFERROR(VLOOKUP(A22,'درآمد ناشی از فروش'!A:Q,17,0),0)</f>
        <v>68480390444</v>
      </c>
      <c r="R22" s="37"/>
      <c r="S22" s="37">
        <f t="shared" si="2"/>
        <v>126647821221</v>
      </c>
      <c r="T22" s="37"/>
      <c r="U22" s="125">
        <f>S22/درآمد!$E$13*100</f>
        <v>0.38466420047529404</v>
      </c>
      <c r="W22" s="29"/>
    </row>
    <row r="23" spans="1:23" ht="40.5" customHeight="1" x14ac:dyDescent="0.6">
      <c r="A23" s="76" t="s">
        <v>16</v>
      </c>
      <c r="B23" s="93"/>
      <c r="C23" s="37">
        <f>IFERROR(VLOOKUP(A23,'درآمد سود سهام'!A:M,7,0),0)</f>
        <v>0</v>
      </c>
      <c r="D23" s="37"/>
      <c r="E23" s="37">
        <f>IFERROR(VLOOKUP(A23,'درآمد ناشی از تغییر قیمت اوراق'!A:Q,9,0),0)</f>
        <v>-37239676320</v>
      </c>
      <c r="F23" s="37"/>
      <c r="G23" s="37">
        <f>IFERROR(VLOOKUP(A23,'درآمد ناشی از فروش'!A:Q,9,0),0)</f>
        <v>0</v>
      </c>
      <c r="H23" s="37"/>
      <c r="I23" s="37">
        <f t="shared" si="0"/>
        <v>-37239676320</v>
      </c>
      <c r="J23" s="37"/>
      <c r="K23" s="149">
        <f t="shared" si="1"/>
        <v>-0.36405602507991275</v>
      </c>
      <c r="L23" s="37"/>
      <c r="M23" s="37">
        <f>IFERROR(VLOOKUP(A23,'درآمد سود سهام'!A:M,9,0),0)</f>
        <v>0</v>
      </c>
      <c r="N23" s="37"/>
      <c r="O23" s="37">
        <f>IFERROR(VLOOKUP(A23,'درآمد ناشی از تغییر قیمت اوراق'!A:Q,17,0),0)</f>
        <v>33238719445</v>
      </c>
      <c r="P23" s="37"/>
      <c r="Q23" s="37">
        <f>IFERROR(VLOOKUP(A23,'درآمد ناشی از فروش'!A:Q,17,0),0)</f>
        <v>9199170410</v>
      </c>
      <c r="R23" s="37"/>
      <c r="S23" s="37">
        <f t="shared" si="2"/>
        <v>42437889855</v>
      </c>
      <c r="T23" s="37"/>
      <c r="U23" s="125">
        <f>S23/درآمد!$E$13*100</f>
        <v>0.12889552156168765</v>
      </c>
      <c r="W23" s="29"/>
    </row>
    <row r="24" spans="1:23" ht="40.5" customHeight="1" x14ac:dyDescent="0.6">
      <c r="A24" s="76" t="s">
        <v>12</v>
      </c>
      <c r="B24" s="93"/>
      <c r="C24" s="37">
        <f>IFERROR(VLOOKUP(A24,'درآمد سود سهام'!A:M,7,0),0)</f>
        <v>0</v>
      </c>
      <c r="D24" s="37"/>
      <c r="E24" s="37">
        <f>IFERROR(VLOOKUP(A24,'درآمد ناشی از تغییر قیمت اوراق'!A:Q,9,0),0)</f>
        <v>198583413911</v>
      </c>
      <c r="F24" s="37"/>
      <c r="G24" s="37">
        <f>IFERROR(VLOOKUP(A24,'درآمد ناشی از فروش'!A:Q,9,0),0)</f>
        <v>10730218584</v>
      </c>
      <c r="H24" s="37"/>
      <c r="I24" s="37">
        <f t="shared" si="0"/>
        <v>209313632495</v>
      </c>
      <c r="J24" s="37"/>
      <c r="K24" s="149">
        <f t="shared" si="1"/>
        <v>2.0462554074413974</v>
      </c>
      <c r="L24" s="37"/>
      <c r="M24" s="37">
        <f>IFERROR(VLOOKUP(A24,'درآمد سود سهام'!A:M,9,0),0)</f>
        <v>0</v>
      </c>
      <c r="N24" s="37"/>
      <c r="O24" s="37">
        <f>IFERROR(VLOOKUP(A24,'درآمد ناشی از تغییر قیمت اوراق'!A:Q,17,0),0)</f>
        <v>275513298299</v>
      </c>
      <c r="P24" s="37"/>
      <c r="Q24" s="37">
        <f>IFERROR(VLOOKUP(A24,'درآمد ناشی از فروش'!A:Q,17,0),0)</f>
        <v>11223975436</v>
      </c>
      <c r="R24" s="37"/>
      <c r="S24" s="37">
        <f t="shared" si="2"/>
        <v>286737273735</v>
      </c>
      <c r="T24" s="37"/>
      <c r="U24" s="125">
        <f>S24/درآمد!$E$13*100</f>
        <v>0.87089981560180518</v>
      </c>
      <c r="W24" s="29"/>
    </row>
    <row r="25" spans="1:23" ht="40.5" customHeight="1" x14ac:dyDescent="0.6">
      <c r="A25" s="76" t="s">
        <v>13</v>
      </c>
      <c r="B25" s="93"/>
      <c r="C25" s="37">
        <f>IFERROR(VLOOKUP(A25,'درآمد سود سهام'!A:M,7,0),0)</f>
        <v>0</v>
      </c>
      <c r="D25" s="37"/>
      <c r="E25" s="37">
        <f>IFERROR(VLOOKUP(A25,'درآمد ناشی از تغییر قیمت اوراق'!A:Q,9,0),0)</f>
        <v>210592578522</v>
      </c>
      <c r="F25" s="37"/>
      <c r="G25" s="37">
        <f>IFERROR(VLOOKUP(A25,'درآمد ناشی از فروش'!A:Q,9,0),0)</f>
        <v>805184747</v>
      </c>
      <c r="H25" s="37"/>
      <c r="I25" s="37">
        <f t="shared" si="0"/>
        <v>211397763269</v>
      </c>
      <c r="J25" s="37"/>
      <c r="K25" s="149">
        <f t="shared" si="1"/>
        <v>2.0666299230201397</v>
      </c>
      <c r="L25" s="37"/>
      <c r="M25" s="37">
        <f>IFERROR(VLOOKUP(A25,'درآمد سود سهام'!A:M,9,0),0)</f>
        <v>192751796720</v>
      </c>
      <c r="N25" s="37"/>
      <c r="O25" s="37">
        <f>IFERROR(VLOOKUP(A25,'درآمد ناشی از تغییر قیمت اوراق'!A:Q,17,0),0)</f>
        <v>134391659942</v>
      </c>
      <c r="P25" s="37"/>
      <c r="Q25" s="37">
        <f>IFERROR(VLOOKUP(A25,'درآمد ناشی از فروش'!A:Q,17,0),0)</f>
        <v>1060917141</v>
      </c>
      <c r="R25" s="37"/>
      <c r="S25" s="37">
        <f t="shared" si="2"/>
        <v>328204373803</v>
      </c>
      <c r="T25" s="37"/>
      <c r="U25" s="125">
        <f>S25/درآمد!$E$13*100</f>
        <v>0.99684678207864619</v>
      </c>
      <c r="W25" s="29"/>
    </row>
    <row r="26" spans="1:23" ht="40.5" customHeight="1" x14ac:dyDescent="0.6">
      <c r="A26" s="76" t="s">
        <v>26</v>
      </c>
      <c r="B26" s="93"/>
      <c r="C26" s="37">
        <f>IFERROR(VLOOKUP(A26,'درآمد سود سهام'!A:M,7,0),0)</f>
        <v>0</v>
      </c>
      <c r="D26" s="37"/>
      <c r="E26" s="37">
        <f>IFERROR(VLOOKUP(A26,'درآمد ناشی از تغییر قیمت اوراق'!A:Q,9,0),0)</f>
        <v>0</v>
      </c>
      <c r="F26" s="37"/>
      <c r="G26" s="37">
        <f>IFERROR(VLOOKUP(A26,'درآمد ناشی از فروش'!A:Q,9,0),0)</f>
        <v>0</v>
      </c>
      <c r="H26" s="37"/>
      <c r="I26" s="37">
        <f t="shared" si="0"/>
        <v>0</v>
      </c>
      <c r="J26" s="37"/>
      <c r="K26" s="149">
        <f t="shared" si="1"/>
        <v>0</v>
      </c>
      <c r="L26" s="37"/>
      <c r="M26" s="37">
        <f>IFERROR(VLOOKUP(A26,'درآمد سود سهام'!A:M,9,0),0)</f>
        <v>0</v>
      </c>
      <c r="N26" s="37"/>
      <c r="O26" s="37">
        <f>IFERROR(VLOOKUP(A26,'درآمد ناشی از تغییر قیمت اوراق'!A:Q,17,0),0)</f>
        <v>0</v>
      </c>
      <c r="P26" s="37"/>
      <c r="Q26" s="37">
        <f>IFERROR(VLOOKUP(A26,'درآمد ناشی از فروش'!A:Q,17,0),0)</f>
        <v>4123475</v>
      </c>
      <c r="R26" s="37"/>
      <c r="S26" s="37">
        <f t="shared" si="2"/>
        <v>4123475</v>
      </c>
      <c r="T26" s="37"/>
      <c r="U26" s="125">
        <f>S26/درآمد!$E$13*100</f>
        <v>1.252412555354609E-5</v>
      </c>
      <c r="W26" s="29"/>
    </row>
    <row r="27" spans="1:23" ht="40.5" customHeight="1" x14ac:dyDescent="0.6">
      <c r="A27" s="76" t="s">
        <v>28</v>
      </c>
      <c r="B27" s="93"/>
      <c r="C27" s="37">
        <f>IFERROR(VLOOKUP(A27,'درآمد سود سهام'!A:M,7,0),0)</f>
        <v>0</v>
      </c>
      <c r="D27" s="37"/>
      <c r="E27" s="37">
        <f>IFERROR(VLOOKUP(A27,'درآمد ناشی از تغییر قیمت اوراق'!A:Q,9,0),0)</f>
        <v>124402993633</v>
      </c>
      <c r="F27" s="37"/>
      <c r="G27" s="37">
        <f>IFERROR(VLOOKUP(A27,'درآمد ناشی از فروش'!A:Q,9,0),0)</f>
        <v>7482281436</v>
      </c>
      <c r="H27" s="37"/>
      <c r="I27" s="37">
        <f t="shared" si="0"/>
        <v>131885275069</v>
      </c>
      <c r="J27" s="37"/>
      <c r="K27" s="149">
        <f t="shared" si="1"/>
        <v>1.2893138113127149</v>
      </c>
      <c r="L27" s="37"/>
      <c r="M27" s="37">
        <f>IFERROR(VLOOKUP(A27,'درآمد سود سهام'!A:M,9,0),0)</f>
        <v>51959289260</v>
      </c>
      <c r="N27" s="37"/>
      <c r="O27" s="37">
        <f>IFERROR(VLOOKUP(A27,'درآمد ناشی از تغییر قیمت اوراق'!A:Q,17,0),0)</f>
        <v>234305834801</v>
      </c>
      <c r="P27" s="37"/>
      <c r="Q27" s="37">
        <f>IFERROR(VLOOKUP(A27,'درآمد ناشی از فروش'!A:Q,17,0),0)</f>
        <v>10908247968</v>
      </c>
      <c r="R27" s="37"/>
      <c r="S27" s="37">
        <f t="shared" si="2"/>
        <v>297173372029</v>
      </c>
      <c r="T27" s="37"/>
      <c r="U27" s="125">
        <f>S27/درآمد!$E$13*100</f>
        <v>0.90259711104392726</v>
      </c>
      <c r="W27" s="29"/>
    </row>
    <row r="28" spans="1:23" ht="40.5" customHeight="1" x14ac:dyDescent="0.6">
      <c r="A28" s="76" t="s">
        <v>22</v>
      </c>
      <c r="B28" s="93"/>
      <c r="C28" s="37">
        <f>IFERROR(VLOOKUP(A28,'درآمد سود سهام'!A:M,7,0),0)</f>
        <v>0</v>
      </c>
      <c r="D28" s="37"/>
      <c r="E28" s="37">
        <f>IFERROR(VLOOKUP(A28,'درآمد ناشی از تغییر قیمت اوراق'!A:Q,9,0),0)</f>
        <v>0</v>
      </c>
      <c r="F28" s="37"/>
      <c r="G28" s="37">
        <f>IFERROR(VLOOKUP(A28,'درآمد ناشی از فروش'!A:Q,9,0),0)</f>
        <v>0</v>
      </c>
      <c r="H28" s="37"/>
      <c r="I28" s="37">
        <f t="shared" si="0"/>
        <v>0</v>
      </c>
      <c r="J28" s="37"/>
      <c r="K28" s="149">
        <f t="shared" si="1"/>
        <v>0</v>
      </c>
      <c r="L28" s="37"/>
      <c r="M28" s="37">
        <f>IFERROR(VLOOKUP(A28,'درآمد سود سهام'!A:M,9,0),0)</f>
        <v>0</v>
      </c>
      <c r="N28" s="37"/>
      <c r="O28" s="37">
        <f>IFERROR(VLOOKUP(A28,'درآمد ناشی از تغییر قیمت اوراق'!A:Q,17,0),0)</f>
        <v>0</v>
      </c>
      <c r="P28" s="37"/>
      <c r="Q28" s="37">
        <f>IFERROR(VLOOKUP(A28,'درآمد ناشی از فروش'!A:Q,17,0),0)</f>
        <v>-4102446480</v>
      </c>
      <c r="R28" s="37"/>
      <c r="S28" s="37">
        <f t="shared" si="2"/>
        <v>-4102446480</v>
      </c>
      <c r="T28" s="37"/>
      <c r="U28" s="125">
        <f>S28/درآمد!$E$13*100</f>
        <v>-1.2460256165545617E-2</v>
      </c>
      <c r="W28" s="29"/>
    </row>
    <row r="29" spans="1:23" ht="40.5" customHeight="1" x14ac:dyDescent="0.6">
      <c r="A29" s="76" t="s">
        <v>149</v>
      </c>
      <c r="B29" s="93"/>
      <c r="C29" s="37">
        <f>IFERROR(VLOOKUP(A29,'درآمد سود سهام'!A:M,7,0),0)</f>
        <v>0</v>
      </c>
      <c r="D29" s="37"/>
      <c r="E29" s="37">
        <f>IFERROR(VLOOKUP(A29,'درآمد ناشی از تغییر قیمت اوراق'!A:Q,9,0),0)</f>
        <v>0</v>
      </c>
      <c r="F29" s="37"/>
      <c r="G29" s="37">
        <f>IFERROR(VLOOKUP(A29,'درآمد ناشی از فروش'!A:Q,9,0),0)</f>
        <v>0</v>
      </c>
      <c r="H29" s="37"/>
      <c r="I29" s="37">
        <f t="shared" si="0"/>
        <v>0</v>
      </c>
      <c r="J29" s="37"/>
      <c r="K29" s="149">
        <f t="shared" si="1"/>
        <v>0</v>
      </c>
      <c r="L29" s="37"/>
      <c r="M29" s="37">
        <f>IFERROR(VLOOKUP(A29,'درآمد سود سهام'!A:M,9,0),0)</f>
        <v>0</v>
      </c>
      <c r="N29" s="37"/>
      <c r="O29" s="37">
        <f>IFERROR(VLOOKUP(A29,'درآمد ناشی از تغییر قیمت اوراق'!A:Q,17,0),0)</f>
        <v>0</v>
      </c>
      <c r="P29" s="37"/>
      <c r="Q29" s="37">
        <f>IFERROR(VLOOKUP(A29,'درآمد اعمال اختیار'!A:Q,17,0),0)</f>
        <v>2211972504</v>
      </c>
      <c r="R29" s="37"/>
      <c r="S29" s="37">
        <f t="shared" si="2"/>
        <v>2211972504</v>
      </c>
      <c r="T29" s="37"/>
      <c r="U29" s="125">
        <f>S29/درآمد!$E$13*100</f>
        <v>6.7183677265141009E-3</v>
      </c>
      <c r="W29" s="29"/>
    </row>
    <row r="30" spans="1:23" ht="40.5" customHeight="1" x14ac:dyDescent="0.6">
      <c r="A30" s="76" t="s">
        <v>147</v>
      </c>
      <c r="B30" s="93"/>
      <c r="C30" s="37">
        <f>IFERROR(VLOOKUP(A30,'درآمد سود سهام'!A:M,7,0),0)</f>
        <v>0</v>
      </c>
      <c r="D30" s="37"/>
      <c r="E30" s="37">
        <f>IFERROR(VLOOKUP(A30,'درآمد ناشی از تغییر قیمت اوراق'!A:Q,9,0),0)</f>
        <v>0</v>
      </c>
      <c r="F30" s="37"/>
      <c r="G30" s="37">
        <f>IFERROR(VLOOKUP(A30,'درآمد ناشی از فروش'!A:Q,9,0),0)</f>
        <v>0</v>
      </c>
      <c r="H30" s="37"/>
      <c r="I30" s="37">
        <f t="shared" si="0"/>
        <v>0</v>
      </c>
      <c r="J30" s="37"/>
      <c r="K30" s="149">
        <f t="shared" si="1"/>
        <v>0</v>
      </c>
      <c r="L30" s="37"/>
      <c r="M30" s="37">
        <f>IFERROR(VLOOKUP(A30,'درآمد سود سهام'!A:M,9,0),0)</f>
        <v>0</v>
      </c>
      <c r="N30" s="37"/>
      <c r="O30" s="37">
        <f>IFERROR(VLOOKUP(A30,'درآمد ناشی از تغییر قیمت اوراق'!A:Q,17,0),0)</f>
        <v>0</v>
      </c>
      <c r="P30" s="37"/>
      <c r="Q30" s="37">
        <f>IFERROR(VLOOKUP(A30,'درآمد اعمال اختیار'!A:Q,17,0),0)</f>
        <v>1771729379</v>
      </c>
      <c r="R30" s="37"/>
      <c r="S30" s="37">
        <f t="shared" si="2"/>
        <v>1771729379</v>
      </c>
      <c r="T30" s="37"/>
      <c r="U30" s="125">
        <f>S30/درآمد!$E$13*100</f>
        <v>5.3812285001127074E-3</v>
      </c>
      <c r="W30" s="29"/>
    </row>
    <row r="31" spans="1:23" ht="40.5" customHeight="1" x14ac:dyDescent="0.6">
      <c r="A31" s="76" t="s">
        <v>146</v>
      </c>
      <c r="B31" s="93"/>
      <c r="C31" s="37">
        <f>IFERROR(VLOOKUP(A31,'درآمد سود سهام'!A:M,7,0),0)</f>
        <v>0</v>
      </c>
      <c r="D31" s="37"/>
      <c r="E31" s="37">
        <f>IFERROR(VLOOKUP(A31,'درآمد ناشی از تغییر قیمت اوراق'!A:Q,9,0),0)</f>
        <v>0</v>
      </c>
      <c r="F31" s="37"/>
      <c r="G31" s="37">
        <f>IFERROR(VLOOKUP(A31,'درآمد ناشی از فروش'!A:Q,9,0),0)</f>
        <v>0</v>
      </c>
      <c r="H31" s="37"/>
      <c r="I31" s="37">
        <f t="shared" si="0"/>
        <v>0</v>
      </c>
      <c r="J31" s="37"/>
      <c r="K31" s="149">
        <f t="shared" si="1"/>
        <v>0</v>
      </c>
      <c r="L31" s="37"/>
      <c r="M31" s="37">
        <f>IFERROR(VLOOKUP(A31,'درآمد سود سهام'!A:M,9,0),0)</f>
        <v>0</v>
      </c>
      <c r="N31" s="37"/>
      <c r="O31" s="37">
        <f>IFERROR(VLOOKUP(A31,'درآمد ناشی از تغییر قیمت اوراق'!A:Q,17,0),0)</f>
        <v>0</v>
      </c>
      <c r="P31" s="37"/>
      <c r="Q31" s="37">
        <f>IFERROR(VLOOKUP(A31,'درآمد اعمال اختیار'!A:Q,17,0),0)</f>
        <v>448433437</v>
      </c>
      <c r="R31" s="37"/>
      <c r="S31" s="37">
        <f t="shared" si="2"/>
        <v>448433437</v>
      </c>
      <c r="T31" s="37"/>
      <c r="U31" s="125">
        <f>S31/درآمد!$E$13*100</f>
        <v>1.3620154523541917E-3</v>
      </c>
      <c r="W31" s="29"/>
    </row>
    <row r="32" spans="1:23" ht="40.5" customHeight="1" x14ac:dyDescent="0.6">
      <c r="A32" s="76" t="s">
        <v>145</v>
      </c>
      <c r="B32" s="93"/>
      <c r="C32" s="37">
        <f>IFERROR(VLOOKUP(A32,'درآمد سود سهام'!A:M,7,0),0)</f>
        <v>0</v>
      </c>
      <c r="D32" s="37"/>
      <c r="E32" s="37">
        <f>IFERROR(VLOOKUP(A32,'درآمد ناشی از تغییر قیمت اوراق'!A:Q,9,0),0)</f>
        <v>0</v>
      </c>
      <c r="F32" s="37"/>
      <c r="G32" s="37">
        <f>IFERROR(VLOOKUP(A32,'درآمد ناشی از فروش'!A:Q,9,0),0)</f>
        <v>0</v>
      </c>
      <c r="H32" s="37"/>
      <c r="I32" s="37">
        <f t="shared" si="0"/>
        <v>0</v>
      </c>
      <c r="J32" s="37"/>
      <c r="K32" s="149">
        <f t="shared" si="1"/>
        <v>0</v>
      </c>
      <c r="L32" s="37"/>
      <c r="M32" s="37">
        <f>IFERROR(VLOOKUP(A32,'درآمد سود سهام'!A:M,9,0),0)</f>
        <v>0</v>
      </c>
      <c r="N32" s="37"/>
      <c r="O32" s="37">
        <f>IFERROR(VLOOKUP(A32,'درآمد ناشی از تغییر قیمت اوراق'!A:Q,17,0),0)</f>
        <v>0</v>
      </c>
      <c r="P32" s="37"/>
      <c r="Q32" s="37">
        <f>IFERROR(VLOOKUP(A32,'درآمد اعمال اختیار'!A:Q,17,0),0)</f>
        <v>191445985</v>
      </c>
      <c r="R32" s="37"/>
      <c r="S32" s="37">
        <f t="shared" si="2"/>
        <v>191445985</v>
      </c>
      <c r="T32" s="37"/>
      <c r="U32" s="125">
        <f>S32/درآمد!$E$13*100</f>
        <v>5.8147401229843799E-4</v>
      </c>
      <c r="W32" s="29"/>
    </row>
    <row r="33" spans="1:23" ht="40.5" customHeight="1" x14ac:dyDescent="0.6">
      <c r="A33" s="76" t="s">
        <v>142</v>
      </c>
      <c r="B33" s="93"/>
      <c r="C33" s="37">
        <f>IFERROR(VLOOKUP(A33,'درآمد سود سهام'!A:M,7,0),0)</f>
        <v>0</v>
      </c>
      <c r="D33" s="37"/>
      <c r="E33" s="37">
        <f>IFERROR(VLOOKUP(A33,'درآمد ناشی از تغییر قیمت اوراق'!A:Q,9,0),0)</f>
        <v>0</v>
      </c>
      <c r="F33" s="37"/>
      <c r="G33" s="37">
        <f>IFERROR(VLOOKUP(A33,'درآمد ناشی از فروش'!A:Q,9,0),0)</f>
        <v>0</v>
      </c>
      <c r="H33" s="37"/>
      <c r="I33" s="37">
        <f t="shared" si="0"/>
        <v>0</v>
      </c>
      <c r="J33" s="37"/>
      <c r="K33" s="149">
        <f t="shared" si="1"/>
        <v>0</v>
      </c>
      <c r="L33" s="37"/>
      <c r="M33" s="37">
        <f>IFERROR(VLOOKUP(A33,'درآمد سود سهام'!A:M,9,0),0)</f>
        <v>0</v>
      </c>
      <c r="N33" s="37"/>
      <c r="O33" s="37">
        <f>IFERROR(VLOOKUP(A33,'درآمد ناشی از تغییر قیمت اوراق'!A:Q,17,0),0)</f>
        <v>0</v>
      </c>
      <c r="P33" s="37"/>
      <c r="Q33" s="37">
        <f>IFERROR(VLOOKUP(A33,'درآمد اعمال اختیار'!A:Q,17,0),0)</f>
        <v>116429954</v>
      </c>
      <c r="R33" s="37"/>
      <c r="S33" s="37">
        <f t="shared" si="2"/>
        <v>116429954</v>
      </c>
      <c r="T33" s="37"/>
      <c r="U33" s="125">
        <f>S33/درآمد!$E$13*100</f>
        <v>3.53629732710783E-4</v>
      </c>
      <c r="W33" s="29"/>
    </row>
    <row r="34" spans="1:23" ht="40.5" customHeight="1" x14ac:dyDescent="0.6">
      <c r="A34" s="76" t="s">
        <v>143</v>
      </c>
      <c r="B34" s="93"/>
      <c r="C34" s="37">
        <f>IFERROR(VLOOKUP(A34,'درآمد سود سهام'!A:M,7,0),0)</f>
        <v>0</v>
      </c>
      <c r="D34" s="37"/>
      <c r="E34" s="37">
        <f>IFERROR(VLOOKUP(A34,'درآمد ناشی از تغییر قیمت اوراق'!A:Q,9,0),0)</f>
        <v>0</v>
      </c>
      <c r="F34" s="37"/>
      <c r="G34" s="37">
        <f>IFERROR(VLOOKUP(A34,'درآمد ناشی از فروش'!A:Q,9,0),0)</f>
        <v>0</v>
      </c>
      <c r="H34" s="37"/>
      <c r="I34" s="37">
        <f t="shared" si="0"/>
        <v>0</v>
      </c>
      <c r="J34" s="37"/>
      <c r="K34" s="149">
        <f t="shared" si="1"/>
        <v>0</v>
      </c>
      <c r="L34" s="37"/>
      <c r="M34" s="37">
        <f>IFERROR(VLOOKUP(A34,'درآمد سود سهام'!A:M,9,0),0)</f>
        <v>0</v>
      </c>
      <c r="N34" s="37"/>
      <c r="O34" s="37">
        <f>IFERROR(VLOOKUP(A34,'درآمد ناشی از تغییر قیمت اوراق'!A:Q,17,0),0)</f>
        <v>0</v>
      </c>
      <c r="P34" s="37"/>
      <c r="Q34" s="37">
        <f>IFERROR(VLOOKUP(A34,'درآمد اعمال اختیار'!A:Q,17,0),0)</f>
        <v>22976310</v>
      </c>
      <c r="R34" s="37"/>
      <c r="S34" s="37">
        <f t="shared" si="2"/>
        <v>22976310</v>
      </c>
      <c r="T34" s="37"/>
      <c r="U34" s="125">
        <f>S34/درآمد!$E$13*100</f>
        <v>6.9785360938818977E-5</v>
      </c>
      <c r="W34" s="29"/>
    </row>
    <row r="35" spans="1:23" ht="40.5" customHeight="1" x14ac:dyDescent="0.6">
      <c r="A35" s="76" t="s">
        <v>148</v>
      </c>
      <c r="B35" s="93"/>
      <c r="C35" s="37">
        <f>IFERROR(VLOOKUP(A35,'درآمد سود سهام'!A:M,7,0),0)</f>
        <v>0</v>
      </c>
      <c r="D35" s="37"/>
      <c r="E35" s="37">
        <f>IFERROR(VLOOKUP(A35,'درآمد ناشی از تغییر قیمت اوراق'!A:Q,9,0),0)</f>
        <v>0</v>
      </c>
      <c r="F35" s="37"/>
      <c r="G35" s="37">
        <f>IFERROR(VLOOKUP(A35,'درآمد ناشی از فروش'!A:Q,9,0),0)</f>
        <v>0</v>
      </c>
      <c r="H35" s="37"/>
      <c r="I35" s="37">
        <f t="shared" si="0"/>
        <v>0</v>
      </c>
      <c r="J35" s="37"/>
      <c r="K35" s="149">
        <f t="shared" si="1"/>
        <v>0</v>
      </c>
      <c r="L35" s="37"/>
      <c r="M35" s="37">
        <f>IFERROR(VLOOKUP(A35,'درآمد سود سهام'!A:M,9,0),0)</f>
        <v>0</v>
      </c>
      <c r="N35" s="37"/>
      <c r="O35" s="37">
        <f>IFERROR(VLOOKUP(A35,'درآمد ناشی از تغییر قیمت اوراق'!A:Q,17,0),0)</f>
        <v>0</v>
      </c>
      <c r="P35" s="37"/>
      <c r="Q35" s="37">
        <f>IFERROR(VLOOKUP(A35,'درآمد اعمال اختیار'!A:Q,17,0),0)</f>
        <v>20555312</v>
      </c>
      <c r="R35" s="37"/>
      <c r="S35" s="37">
        <f t="shared" si="2"/>
        <v>20555312</v>
      </c>
      <c r="T35" s="37"/>
      <c r="U35" s="125">
        <f>S35/درآمد!$E$13*100</f>
        <v>6.2432125399162748E-5</v>
      </c>
      <c r="W35" s="29"/>
    </row>
    <row r="36" spans="1:23" ht="40.5" customHeight="1" x14ac:dyDescent="0.6">
      <c r="A36" s="76" t="s">
        <v>144</v>
      </c>
      <c r="B36" s="93"/>
      <c r="C36" s="37">
        <f>IFERROR(VLOOKUP(A36,'درآمد سود سهام'!A:M,7,0),0)</f>
        <v>0</v>
      </c>
      <c r="D36" s="37"/>
      <c r="E36" s="37">
        <f>IFERROR(VLOOKUP(A36,'درآمد ناشی از تغییر قیمت اوراق'!A:Q,9,0),0)</f>
        <v>0</v>
      </c>
      <c r="F36" s="37"/>
      <c r="G36" s="37">
        <f>IFERROR(VLOOKUP(A36,'درآمد ناشی از فروش'!A:Q,9,0),0)</f>
        <v>0</v>
      </c>
      <c r="H36" s="37"/>
      <c r="I36" s="37">
        <f t="shared" si="0"/>
        <v>0</v>
      </c>
      <c r="J36" s="37"/>
      <c r="K36" s="149">
        <f t="shared" si="1"/>
        <v>0</v>
      </c>
      <c r="L36" s="37"/>
      <c r="M36" s="37">
        <f>IFERROR(VLOOKUP(A36,'درآمد سود سهام'!A:M,9,0),0)</f>
        <v>0</v>
      </c>
      <c r="N36" s="37"/>
      <c r="O36" s="37">
        <f>IFERROR(VLOOKUP(A36,'درآمد ناشی از تغییر قیمت اوراق'!A:Q,17,0),0)</f>
        <v>0</v>
      </c>
      <c r="P36" s="37"/>
      <c r="Q36" s="37">
        <f>IFERROR(VLOOKUP(A36,'درآمد اعمال اختیار'!A:Q,17,0),0)</f>
        <v>8990730</v>
      </c>
      <c r="R36" s="37"/>
      <c r="S36" s="37">
        <f t="shared" si="2"/>
        <v>8990730</v>
      </c>
      <c r="T36" s="37"/>
      <c r="U36" s="125">
        <f>S36/درآمد!$E$13*100</f>
        <v>2.7307315149972645E-5</v>
      </c>
      <c r="W36" s="29"/>
    </row>
    <row r="37" spans="1:23" ht="40.5" customHeight="1" thickBot="1" x14ac:dyDescent="0.65">
      <c r="B37" s="93"/>
      <c r="C37" s="183">
        <f>SUM(C10:C36)</f>
        <v>0</v>
      </c>
      <c r="D37" s="37"/>
      <c r="E37" s="183">
        <f>SUM(E10:E36)</f>
        <v>7588550852729</v>
      </c>
      <c r="F37" s="37"/>
      <c r="G37" s="183">
        <f>SUM(G10:G36)</f>
        <v>2435305461169</v>
      </c>
      <c r="H37" s="37"/>
      <c r="I37" s="183">
        <f>SUM(I10:I36)</f>
        <v>10023856313898</v>
      </c>
      <c r="J37" s="37"/>
      <c r="K37" s="127">
        <f>SUM(K10:K36)</f>
        <v>97.993474869437094</v>
      </c>
      <c r="L37" s="37"/>
      <c r="M37" s="183">
        <f>SUM(M10:M36)</f>
        <v>1220216225487</v>
      </c>
      <c r="N37" s="37"/>
      <c r="O37" s="183">
        <f>SUM(O10:O36)</f>
        <v>20881683652953</v>
      </c>
      <c r="P37" s="37"/>
      <c r="Q37" s="183">
        <f>SUM(Q10:Q36)</f>
        <v>9638219204548</v>
      </c>
      <c r="R37" s="37"/>
      <c r="S37" s="183">
        <f>SUM(S10:S36)</f>
        <v>31740119082988</v>
      </c>
      <c r="T37" s="37"/>
      <c r="U37" s="154">
        <f>SUM(U10:U36)</f>
        <v>96.403454969375588</v>
      </c>
      <c r="W37" s="29"/>
    </row>
    <row r="38" spans="1:23" ht="25.5" thickTop="1" x14ac:dyDescent="0.4"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</row>
    <row r="39" spans="1:23" ht="24.75" x14ac:dyDescent="0.4"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</row>
    <row r="40" spans="1:23" ht="24.75" x14ac:dyDescent="0.4">
      <c r="Q40" s="65"/>
    </row>
    <row r="41" spans="1:23" ht="24.75" x14ac:dyDescent="0.4">
      <c r="G41" s="65"/>
      <c r="M41" s="65"/>
      <c r="N41" s="65"/>
      <c r="O41" s="65"/>
      <c r="P41" s="65"/>
      <c r="Q41" s="65"/>
      <c r="R41" s="65"/>
      <c r="S41" s="65"/>
      <c r="T41" s="65"/>
      <c r="U41" s="65"/>
    </row>
    <row r="42" spans="1:23" ht="24.75" x14ac:dyDescent="0.4">
      <c r="M42" s="65"/>
      <c r="N42" s="65"/>
      <c r="O42" s="65"/>
      <c r="P42" s="65"/>
      <c r="Q42" s="65"/>
    </row>
  </sheetData>
  <sortState xmlns:xlrd2="http://schemas.microsoft.com/office/spreadsheetml/2017/richdata2" ref="A10:U37">
    <sortCondition descending="1" ref="S10:S37"/>
  </sortState>
  <mergeCells count="10">
    <mergeCell ref="A8:A9"/>
    <mergeCell ref="A1:U1"/>
    <mergeCell ref="A2:U2"/>
    <mergeCell ref="A3:U3"/>
    <mergeCell ref="C6:U6"/>
    <mergeCell ref="A5:U5"/>
    <mergeCell ref="C7:K7"/>
    <mergeCell ref="M7:U7"/>
    <mergeCell ref="I8:K8"/>
    <mergeCell ref="S8:U8"/>
  </mergeCells>
  <conditionalFormatting sqref="A10:A36">
    <cfRule type="duplicateValues" dxfId="1" priority="4"/>
  </conditionalFormatting>
  <pageMargins left="0.39" right="0.39" top="0.39" bottom="0.39" header="0" footer="0"/>
  <pageSetup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41"/>
  <sheetViews>
    <sheetView rightToLeft="1" view="pageBreakPreview" topLeftCell="A19" zoomScale="70" zoomScaleNormal="100" zoomScaleSheetLayoutView="70" workbookViewId="0">
      <selection activeCell="AA32" sqref="AA32"/>
    </sheetView>
  </sheetViews>
  <sheetFormatPr defaultColWidth="9.140625" defaultRowHeight="15.75" x14ac:dyDescent="0.4"/>
  <cols>
    <col min="1" max="1" width="48.140625" style="68" bestFit="1" customWidth="1"/>
    <col min="2" max="2" width="1.28515625" style="68" customWidth="1"/>
    <col min="3" max="3" width="25" style="68" bestFit="1" customWidth="1"/>
    <col min="4" max="4" width="1.28515625" style="68" customWidth="1"/>
    <col min="5" max="5" width="25" style="68" bestFit="1" customWidth="1"/>
    <col min="6" max="6" width="1.28515625" style="68" customWidth="1"/>
    <col min="7" max="7" width="24.85546875" style="68" bestFit="1" customWidth="1"/>
    <col min="8" max="8" width="1.28515625" style="68" customWidth="1"/>
    <col min="9" max="9" width="26.5703125" style="68" bestFit="1" customWidth="1"/>
    <col min="10" max="10" width="1.28515625" style="19" customWidth="1"/>
    <col min="11" max="11" width="26.5703125" style="31" bestFit="1" customWidth="1"/>
    <col min="12" max="12" width="1.28515625" style="19" customWidth="1"/>
    <col min="13" max="13" width="27.42578125" style="68" bestFit="1" customWidth="1"/>
    <col min="14" max="14" width="1.28515625" style="68" customWidth="1"/>
    <col min="15" max="15" width="26.140625" style="68" bestFit="1" customWidth="1"/>
    <col min="16" max="16" width="1.28515625" style="68" customWidth="1"/>
    <col min="17" max="17" width="26.5703125" style="68" bestFit="1" customWidth="1"/>
    <col min="18" max="18" width="1.28515625" style="68" customWidth="1"/>
    <col min="19" max="19" width="26.28515625" style="68" bestFit="1" customWidth="1"/>
    <col min="20" max="20" width="1.28515625" style="19" customWidth="1"/>
    <col min="21" max="21" width="26.5703125" style="31" bestFit="1" customWidth="1"/>
    <col min="22" max="22" width="1.42578125" style="19" customWidth="1"/>
    <col min="23" max="23" width="14.42578125" style="19" bestFit="1" customWidth="1"/>
    <col min="24" max="16384" width="9.140625" style="19"/>
  </cols>
  <sheetData>
    <row r="1" spans="1:21" ht="40.5" customHeight="1" x14ac:dyDescent="0.4">
      <c r="A1" s="210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</row>
    <row r="2" spans="1:21" ht="40.5" customHeight="1" x14ac:dyDescent="0.4">
      <c r="A2" s="210" t="s">
        <v>58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</row>
    <row r="3" spans="1:21" ht="40.5" customHeight="1" x14ac:dyDescent="0.4">
      <c r="A3" s="210" t="str">
        <f>درآمد!A3</f>
        <v>دوره یک ماهه منتهی به 30 مهر 1405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</row>
    <row r="4" spans="1:21" ht="40.5" customHeight="1" x14ac:dyDescent="0.4"/>
    <row r="5" spans="1:21" ht="40.5" customHeight="1" x14ac:dyDescent="0.4">
      <c r="A5" s="207" t="s">
        <v>168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</row>
    <row r="6" spans="1:21" ht="40.5" customHeight="1" x14ac:dyDescent="0.4">
      <c r="A6" s="90"/>
      <c r="B6" s="90"/>
      <c r="C6" s="209" t="s">
        <v>102</v>
      </c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</row>
    <row r="7" spans="1:21" ht="40.5" customHeight="1" thickBot="1" x14ac:dyDescent="0.7">
      <c r="A7" s="77"/>
      <c r="B7" s="77"/>
      <c r="C7" s="198" t="str">
        <f>'درآمد سرمایه گذاری در سهام'!C7</f>
        <v>طی مهر ماه</v>
      </c>
      <c r="D7" s="198"/>
      <c r="E7" s="198"/>
      <c r="F7" s="198"/>
      <c r="G7" s="198"/>
      <c r="H7" s="198"/>
      <c r="I7" s="198"/>
      <c r="J7" s="198"/>
      <c r="K7" s="198"/>
      <c r="L7" s="27"/>
      <c r="M7" s="198" t="str">
        <f>'درآمد سرمایه گذاری در سهام'!M7</f>
        <v>از ابتدای سال مالی تا پایان مهر ماه</v>
      </c>
      <c r="N7" s="198"/>
      <c r="O7" s="198"/>
      <c r="P7" s="198"/>
      <c r="Q7" s="198"/>
      <c r="R7" s="198"/>
      <c r="S7" s="198"/>
      <c r="T7" s="198"/>
      <c r="U7" s="198"/>
    </row>
    <row r="8" spans="1:21" ht="40.5" customHeight="1" thickBot="1" x14ac:dyDescent="0.7">
      <c r="A8" s="194" t="s">
        <v>36</v>
      </c>
      <c r="B8" s="77"/>
      <c r="C8" s="80" t="s">
        <v>68</v>
      </c>
      <c r="D8" s="96"/>
      <c r="E8" s="80" t="s">
        <v>66</v>
      </c>
      <c r="F8" s="96"/>
      <c r="G8" s="80" t="s">
        <v>67</v>
      </c>
      <c r="H8" s="77"/>
      <c r="I8" s="198" t="s">
        <v>29</v>
      </c>
      <c r="J8" s="198"/>
      <c r="K8" s="198"/>
      <c r="L8" s="27"/>
      <c r="M8" s="80" t="s">
        <v>68</v>
      </c>
      <c r="N8" s="96"/>
      <c r="O8" s="80" t="s">
        <v>66</v>
      </c>
      <c r="P8" s="96"/>
      <c r="Q8" s="80" t="s">
        <v>67</v>
      </c>
      <c r="R8" s="77"/>
      <c r="S8" s="198" t="s">
        <v>29</v>
      </c>
      <c r="T8" s="198"/>
      <c r="U8" s="198"/>
    </row>
    <row r="9" spans="1:21" ht="40.5" customHeight="1" thickBot="1" x14ac:dyDescent="0.7">
      <c r="A9" s="195"/>
      <c r="B9" s="77"/>
      <c r="C9" s="92" t="s">
        <v>114</v>
      </c>
      <c r="D9" s="96"/>
      <c r="E9" s="92" t="s">
        <v>115</v>
      </c>
      <c r="F9" s="96"/>
      <c r="G9" s="92" t="s">
        <v>116</v>
      </c>
      <c r="H9" s="77"/>
      <c r="I9" s="92" t="s">
        <v>55</v>
      </c>
      <c r="J9" s="27"/>
      <c r="K9" s="57" t="s">
        <v>61</v>
      </c>
      <c r="L9" s="27"/>
      <c r="M9" s="92" t="s">
        <v>114</v>
      </c>
      <c r="N9" s="96"/>
      <c r="O9" s="92" t="s">
        <v>115</v>
      </c>
      <c r="P9" s="96"/>
      <c r="Q9" s="92" t="s">
        <v>116</v>
      </c>
      <c r="R9" s="77"/>
      <c r="S9" s="92" t="s">
        <v>55</v>
      </c>
      <c r="T9" s="27"/>
      <c r="U9" s="57" t="s">
        <v>61</v>
      </c>
    </row>
    <row r="10" spans="1:21" ht="40.5" customHeight="1" x14ac:dyDescent="0.6">
      <c r="A10" s="76" t="s">
        <v>40</v>
      </c>
      <c r="B10" s="93"/>
      <c r="C10" s="37">
        <f>IFERROR(VLOOKUP(A10,'درآمد سود صندوق'!A:K,9,0),0)</f>
        <v>0</v>
      </c>
      <c r="D10" s="37"/>
      <c r="E10" s="37">
        <f>IFERROR(VLOOKUP(A10,'درآمد ناشی از تغییر قیمت اوراق'!A:Q,9,0),0)</f>
        <v>44773346858</v>
      </c>
      <c r="F10" s="37"/>
      <c r="G10" s="37">
        <f>IFERROR(VLOOKUP(A10,'درآمد ناشی از فروش'!A:Q,9,0),0)</f>
        <v>26949009855</v>
      </c>
      <c r="H10" s="37"/>
      <c r="I10" s="37">
        <f>C10+E10+G10</f>
        <v>71722356713</v>
      </c>
      <c r="J10" s="37"/>
      <c r="K10" s="125">
        <f>I10/10229105894299*100</f>
        <v>0.70115958769156073</v>
      </c>
      <c r="L10" s="37"/>
      <c r="M10" s="37">
        <f>IFERROR(VLOOKUP(A10,'درآمد سود صندوق'!A:K,11,0),0)</f>
        <v>0</v>
      </c>
      <c r="N10" s="37"/>
      <c r="O10" s="37">
        <f>IFERROR(VLOOKUP(A10,'درآمد ناشی از تغییر قیمت اوراق'!A:Q,17,0),0)</f>
        <v>71067362828</v>
      </c>
      <c r="P10" s="37"/>
      <c r="Q10" s="37">
        <f>IFERROR(VLOOKUP(A10,'درآمد ناشی از فروش'!A:Q,17,0),0)</f>
        <v>370421065173</v>
      </c>
      <c r="R10" s="37"/>
      <c r="S10" s="37">
        <f>M10+O10+Q10</f>
        <v>441488428001</v>
      </c>
      <c r="T10" s="37"/>
      <c r="U10" s="125">
        <f>S10/درآمد!$E$13*100</f>
        <v>1.3409215534766714</v>
      </c>
    </row>
    <row r="11" spans="1:21" ht="40.5" customHeight="1" x14ac:dyDescent="0.6">
      <c r="A11" s="76" t="s">
        <v>39</v>
      </c>
      <c r="B11" s="93"/>
      <c r="C11" s="37">
        <f>IFERROR(VLOOKUP(A11,'درآمد سود صندوق'!A:K,9,0),0)</f>
        <v>0</v>
      </c>
      <c r="D11" s="37"/>
      <c r="E11" s="37">
        <f>IFERROR(VLOOKUP(A11,'درآمد ناشی از تغییر قیمت اوراق'!A:Q,9,0),0)</f>
        <v>8298038968</v>
      </c>
      <c r="F11" s="37"/>
      <c r="G11" s="37">
        <f>IFERROR(VLOOKUP(A11,'درآمد ناشی از فروش'!A:Q,9,0),0)</f>
        <v>0</v>
      </c>
      <c r="H11" s="37"/>
      <c r="I11" s="37">
        <f t="shared" ref="I11:I26" si="0">C11+E11+G11</f>
        <v>8298038968</v>
      </c>
      <c r="J11" s="37"/>
      <c r="K11" s="125">
        <f t="shared" ref="K11:K26" si="1">I11/10229105894299*100</f>
        <v>8.1121840498540113E-2</v>
      </c>
      <c r="L11" s="37"/>
      <c r="M11" s="37">
        <f>IFERROR(VLOOKUP(A11,'درآمد سود صندوق'!A:K,11,0),0)</f>
        <v>0</v>
      </c>
      <c r="N11" s="37"/>
      <c r="O11" s="37">
        <f>IFERROR(VLOOKUP(A11,'درآمد ناشی از تغییر قیمت اوراق'!A:Q,17,0),0)</f>
        <v>62064165396</v>
      </c>
      <c r="P11" s="37"/>
      <c r="Q11" s="37">
        <f>IFERROR(VLOOKUP(A11,'درآمد ناشی از فروش'!A:Q,17,0),0)</f>
        <v>44110315</v>
      </c>
      <c r="R11" s="37"/>
      <c r="S11" s="37">
        <f t="shared" ref="S11:S26" si="2">M11+O11+Q11</f>
        <v>62108275711</v>
      </c>
      <c r="T11" s="37"/>
      <c r="U11" s="125">
        <f>S11/درآمد!$E$13*100</f>
        <v>0.18863988333112752</v>
      </c>
    </row>
    <row r="12" spans="1:21" ht="40.5" customHeight="1" x14ac:dyDescent="0.6">
      <c r="A12" s="76" t="s">
        <v>178</v>
      </c>
      <c r="B12" s="93"/>
      <c r="C12" s="37">
        <f>IFERROR(VLOOKUP(A12,'درآمد سود صندوق'!A:K,9,0),0)</f>
        <v>0</v>
      </c>
      <c r="D12" s="37"/>
      <c r="E12" s="37">
        <f>IFERROR(VLOOKUP(A12,'درآمد ناشی از تغییر قیمت اوراق'!A:Q,9,0),0)</f>
        <v>630767319</v>
      </c>
      <c r="F12" s="37"/>
      <c r="G12" s="37">
        <f>IFERROR(VLOOKUP(A12,'درآمد ناشی از فروش'!A:Q,9,0),0)</f>
        <v>0</v>
      </c>
      <c r="H12" s="37"/>
      <c r="I12" s="37">
        <f t="shared" si="0"/>
        <v>630767319</v>
      </c>
      <c r="J12" s="37"/>
      <c r="K12" s="125">
        <f t="shared" si="1"/>
        <v>6.1663973911106566E-3</v>
      </c>
      <c r="L12" s="37"/>
      <c r="M12" s="37">
        <f>IFERROR(VLOOKUP(A12,'درآمد سود صندوق'!A:K,11,0),0)</f>
        <v>0</v>
      </c>
      <c r="N12" s="37"/>
      <c r="O12" s="37">
        <f>IFERROR(VLOOKUP(A12,'درآمد ناشی از تغییر قیمت اوراق'!A:Q,17,0),0)</f>
        <v>2302340667</v>
      </c>
      <c r="P12" s="37"/>
      <c r="Q12" s="37">
        <f>IFERROR(VLOOKUP(A12,'درآمد ناشی از فروش'!A:Q,17,0),0)</f>
        <v>0</v>
      </c>
      <c r="R12" s="37"/>
      <c r="S12" s="37">
        <f t="shared" si="2"/>
        <v>2302340667</v>
      </c>
      <c r="T12" s="37"/>
      <c r="U12" s="125">
        <f>S12/درآمد!$E$13*100</f>
        <v>6.9928406454611829E-3</v>
      </c>
    </row>
    <row r="13" spans="1:21" ht="40.5" customHeight="1" x14ac:dyDescent="0.6">
      <c r="A13" s="76" t="s">
        <v>69</v>
      </c>
      <c r="B13" s="93"/>
      <c r="C13" s="37">
        <f>IFERROR(VLOOKUP(A13,'درآمد سود صندوق'!A:K,9,0),0)</f>
        <v>0</v>
      </c>
      <c r="D13" s="37"/>
      <c r="E13" s="37">
        <f>IFERROR(VLOOKUP(A13,'درآمد ناشی از تغییر قیمت اوراق'!A:Q,9,0),0)</f>
        <v>27945484873</v>
      </c>
      <c r="F13" s="37"/>
      <c r="G13" s="37">
        <f>IFERROR(VLOOKUP(A13,'درآمد ناشی از فروش'!A:Q,9,0),0)</f>
        <v>0</v>
      </c>
      <c r="H13" s="37"/>
      <c r="I13" s="37">
        <f t="shared" si="0"/>
        <v>27945484873</v>
      </c>
      <c r="J13" s="37"/>
      <c r="K13" s="125">
        <f t="shared" si="1"/>
        <v>0.2731957725510975</v>
      </c>
      <c r="L13" s="37"/>
      <c r="M13" s="37">
        <f>IFERROR(VLOOKUP(A13,'درآمد سود صندوق'!A:K,11,0),0)</f>
        <v>0</v>
      </c>
      <c r="N13" s="37"/>
      <c r="O13" s="37">
        <f>IFERROR(VLOOKUP(A13,'درآمد ناشی از تغییر قیمت اوراق'!A:Q,17,0),0)</f>
        <v>136465924986</v>
      </c>
      <c r="P13" s="37"/>
      <c r="Q13" s="37">
        <f>IFERROR(VLOOKUP(A13,'درآمد ناشی از فروش'!A:Q,17,0),0)</f>
        <v>0</v>
      </c>
      <c r="R13" s="37"/>
      <c r="S13" s="37">
        <f t="shared" si="2"/>
        <v>136465924986</v>
      </c>
      <c r="T13" s="37"/>
      <c r="U13" s="125">
        <f>S13/درآمد!$E$13*100</f>
        <v>0.41448447688065687</v>
      </c>
    </row>
    <row r="14" spans="1:21" ht="40.5" customHeight="1" x14ac:dyDescent="0.6">
      <c r="A14" s="76" t="s">
        <v>173</v>
      </c>
      <c r="B14" s="93"/>
      <c r="C14" s="37">
        <f>IFERROR(VLOOKUP(A14,'درآمد سود صندوق'!A:K,9,0),0)</f>
        <v>0</v>
      </c>
      <c r="D14" s="37"/>
      <c r="E14" s="37">
        <f>IFERROR(VLOOKUP(A14,'درآمد ناشی از تغییر قیمت اوراق'!A:Q,9,0),0)</f>
        <v>625769162</v>
      </c>
      <c r="F14" s="37"/>
      <c r="G14" s="37">
        <f>IFERROR(VLOOKUP(A14,'درآمد ناشی از فروش'!A:Q,9,0),0)</f>
        <v>0</v>
      </c>
      <c r="H14" s="37"/>
      <c r="I14" s="37">
        <f t="shared" si="0"/>
        <v>625769162</v>
      </c>
      <c r="J14" s="37"/>
      <c r="K14" s="125">
        <f t="shared" si="1"/>
        <v>6.117535280857349E-3</v>
      </c>
      <c r="L14" s="37"/>
      <c r="M14" s="37">
        <f>IFERROR(VLOOKUP(A14,'درآمد سود صندوق'!A:K,11,0),0)</f>
        <v>0</v>
      </c>
      <c r="N14" s="37"/>
      <c r="O14" s="37">
        <f>IFERROR(VLOOKUP(A14,'درآمد ناشی از تغییر قیمت اوراق'!A:Q,17,0),0)</f>
        <v>2533687637</v>
      </c>
      <c r="P14" s="37"/>
      <c r="Q14" s="37">
        <f>IFERROR(VLOOKUP(A14,'درآمد ناشی از فروش'!A:Q,17,0),0)</f>
        <v>0</v>
      </c>
      <c r="R14" s="37"/>
      <c r="S14" s="37">
        <f t="shared" si="2"/>
        <v>2533687637</v>
      </c>
      <c r="T14" s="37"/>
      <c r="U14" s="125">
        <f>S14/درآمد!$E$13*100</f>
        <v>7.6955049028442054E-3</v>
      </c>
    </row>
    <row r="15" spans="1:21" ht="40.5" customHeight="1" x14ac:dyDescent="0.6">
      <c r="A15" s="76" t="s">
        <v>180</v>
      </c>
      <c r="B15" s="93"/>
      <c r="C15" s="37">
        <f>IFERROR(VLOOKUP(A15,'درآمد سود صندوق'!A:K,9,0),0)</f>
        <v>0</v>
      </c>
      <c r="D15" s="37"/>
      <c r="E15" s="37">
        <f>IFERROR(VLOOKUP(A15,'درآمد ناشی از تغییر قیمت اوراق'!A:Q,9,0),0)</f>
        <v>7114875577</v>
      </c>
      <c r="F15" s="37"/>
      <c r="G15" s="37">
        <f>IFERROR(VLOOKUP(A15,'درآمد ناشی از فروش'!A:Q,9,0),0)</f>
        <v>5891593750</v>
      </c>
      <c r="H15" s="37"/>
      <c r="I15" s="37">
        <f t="shared" si="0"/>
        <v>13006469327</v>
      </c>
      <c r="J15" s="37"/>
      <c r="K15" s="125">
        <f t="shared" si="1"/>
        <v>0.12715157572324001</v>
      </c>
      <c r="L15" s="37"/>
      <c r="M15" s="37">
        <f>IFERROR(VLOOKUP(A15,'درآمد سود صندوق'!A:K,11,0),0)</f>
        <v>0</v>
      </c>
      <c r="N15" s="37"/>
      <c r="O15" s="37">
        <f>IFERROR(VLOOKUP(A15,'درآمد ناشی از تغییر قیمت اوراق'!A:Q,17,0),0)</f>
        <v>10996100061</v>
      </c>
      <c r="P15" s="37"/>
      <c r="Q15" s="37">
        <f>IFERROR(VLOOKUP(A15,'درآمد ناشی از فروش'!A:Q,17,0),0)</f>
        <v>5891593750</v>
      </c>
      <c r="R15" s="37"/>
      <c r="S15" s="37">
        <f t="shared" si="2"/>
        <v>16887693811</v>
      </c>
      <c r="T15" s="37"/>
      <c r="U15" s="125">
        <f>S15/درآمد!$E$13*100</f>
        <v>5.1292562122677417E-2</v>
      </c>
    </row>
    <row r="16" spans="1:21" ht="40.5" customHeight="1" x14ac:dyDescent="0.6">
      <c r="A16" s="76" t="s">
        <v>189</v>
      </c>
      <c r="B16" s="93"/>
      <c r="C16" s="37">
        <f>IFERROR(VLOOKUP(A16,'درآمد سود صندوق'!A:K,9,0),0)</f>
        <v>0</v>
      </c>
      <c r="D16" s="37"/>
      <c r="E16" s="37">
        <f>IFERROR(VLOOKUP(A16,'درآمد ناشی از تغییر قیمت اوراق'!A:Q,9,0),0)</f>
        <v>-88500000</v>
      </c>
      <c r="F16" s="37"/>
      <c r="G16" s="37">
        <f>IFERROR(VLOOKUP(A16,'درآمد ناشی از فروش'!A:Q,9,0),0)</f>
        <v>0</v>
      </c>
      <c r="H16" s="37"/>
      <c r="I16" s="37">
        <f t="shared" si="0"/>
        <v>-88500000</v>
      </c>
      <c r="J16" s="37"/>
      <c r="K16" s="125">
        <f t="shared" si="1"/>
        <v>-8.6517825618878197E-4</v>
      </c>
      <c r="L16" s="37"/>
      <c r="M16" s="37">
        <f>IFERROR(VLOOKUP(A16,'درآمد سود صندوق'!A:K,11,0),0)</f>
        <v>0</v>
      </c>
      <c r="N16" s="37"/>
      <c r="O16" s="37">
        <f>IFERROR(VLOOKUP(A16,'درآمد ناشی از تغییر قیمت اوراق'!A:Q,17,0),0)</f>
        <v>-88500000</v>
      </c>
      <c r="P16" s="37"/>
      <c r="Q16" s="37">
        <f>IFERROR(VLOOKUP(A16,'درآمد ناشی از فروش'!A:Q,17,0),0)</f>
        <v>0</v>
      </c>
      <c r="R16" s="37"/>
      <c r="S16" s="37">
        <f t="shared" si="2"/>
        <v>-88500000</v>
      </c>
      <c r="T16" s="37"/>
      <c r="U16" s="125">
        <f>S16/درآمد!$E$13*100</f>
        <v>-2.6879879506698333E-4</v>
      </c>
    </row>
    <row r="17" spans="1:21" ht="40.5" customHeight="1" x14ac:dyDescent="0.6">
      <c r="A17" s="76" t="s">
        <v>174</v>
      </c>
      <c r="B17" s="93"/>
      <c r="C17" s="37">
        <f>IFERROR(VLOOKUP(A17,'درآمد سود صندوق'!A:K,9,0),0)</f>
        <v>0</v>
      </c>
      <c r="D17" s="37"/>
      <c r="E17" s="37">
        <f>IFERROR(VLOOKUP(A17,'درآمد ناشی از تغییر قیمت اوراق'!A:Q,9,0),0)</f>
        <v>-1928533150</v>
      </c>
      <c r="F17" s="37"/>
      <c r="G17" s="37">
        <f>IFERROR(VLOOKUP(A17,'درآمد ناشی از فروش'!A:Q,9,0),0)</f>
        <v>2040625000</v>
      </c>
      <c r="H17" s="37"/>
      <c r="I17" s="37">
        <f t="shared" si="0"/>
        <v>112091850</v>
      </c>
      <c r="J17" s="37"/>
      <c r="K17" s="125">
        <f t="shared" si="1"/>
        <v>1.0958127832313505E-3</v>
      </c>
      <c r="L17" s="37"/>
      <c r="M17" s="37">
        <f>IFERROR(VLOOKUP(A17,'درآمد سود صندوق'!A:K,11,0),0)</f>
        <v>0</v>
      </c>
      <c r="N17" s="37"/>
      <c r="O17" s="37">
        <f>IFERROR(VLOOKUP(A17,'درآمد ناشی از تغییر قیمت اوراق'!A:Q,17,0),0)</f>
        <v>0</v>
      </c>
      <c r="P17" s="37"/>
      <c r="Q17" s="37">
        <f>IFERROR(VLOOKUP(A17,'درآمد ناشی از فروش'!A:Q,17,0),0)</f>
        <v>2040625000</v>
      </c>
      <c r="R17" s="37"/>
      <c r="S17" s="37">
        <f t="shared" si="2"/>
        <v>2040625000</v>
      </c>
      <c r="T17" s="37"/>
      <c r="U17" s="125">
        <f>S17/درآمد!$E$13*100</f>
        <v>6.197938318458337E-3</v>
      </c>
    </row>
    <row r="18" spans="1:21" ht="40.5" customHeight="1" x14ac:dyDescent="0.6">
      <c r="A18" s="76" t="s">
        <v>184</v>
      </c>
      <c r="B18" s="93"/>
      <c r="C18" s="37">
        <f>IFERROR(VLOOKUP(A18,'درآمد سود صندوق'!A:K,9,0),0)</f>
        <v>0</v>
      </c>
      <c r="D18" s="37"/>
      <c r="E18" s="37">
        <f>IFERROR(VLOOKUP(A18,'درآمد ناشی از تغییر قیمت اوراق'!A:Q,9,0),0)</f>
        <v>-41399407314</v>
      </c>
      <c r="F18" s="37"/>
      <c r="G18" s="37">
        <f>IFERROR(VLOOKUP(A18,'درآمد ناشی از فروش'!A:Q,9,0),0)</f>
        <v>73671926455</v>
      </c>
      <c r="H18" s="37"/>
      <c r="I18" s="37">
        <f t="shared" si="0"/>
        <v>32272519141</v>
      </c>
      <c r="J18" s="37"/>
      <c r="K18" s="125">
        <f t="shared" si="1"/>
        <v>0.31549696986699965</v>
      </c>
      <c r="L18" s="37"/>
      <c r="M18" s="37">
        <f>IFERROR(VLOOKUP(A18,'درآمد سود صندوق'!A:K,11,0),0)</f>
        <v>0</v>
      </c>
      <c r="N18" s="37"/>
      <c r="O18" s="37">
        <f>IFERROR(VLOOKUP(A18,'درآمد ناشی از تغییر قیمت اوراق'!A:Q,17,0),0)</f>
        <v>0</v>
      </c>
      <c r="P18" s="37"/>
      <c r="Q18" s="37">
        <f>IFERROR(VLOOKUP(A18,'درآمد ناشی از فروش'!A:Q,17,0),0)</f>
        <v>73671926455</v>
      </c>
      <c r="R18" s="37"/>
      <c r="S18" s="37">
        <f t="shared" si="2"/>
        <v>73671926455</v>
      </c>
      <c r="T18" s="37"/>
      <c r="U18" s="125">
        <f>S18/درآمد!$E$13*100</f>
        <v>0.22376186510019674</v>
      </c>
    </row>
    <row r="19" spans="1:21" ht="40.5" customHeight="1" x14ac:dyDescent="0.6">
      <c r="A19" s="76" t="s">
        <v>41</v>
      </c>
      <c r="B19" s="93"/>
      <c r="C19" s="37">
        <f>IFERROR(VLOOKUP(A19,'درآمد سود صندوق'!A:K,9,0),0)</f>
        <v>0</v>
      </c>
      <c r="D19" s="37"/>
      <c r="E19" s="37">
        <f>IFERROR(VLOOKUP(A19,'درآمد ناشی از تغییر قیمت اوراق'!A:Q,9,0),0)</f>
        <v>0</v>
      </c>
      <c r="F19" s="37"/>
      <c r="G19" s="37">
        <f>IFERROR(VLOOKUP(A19,'درآمد ناشی از فروش'!A:Q,9,0),0)</f>
        <v>0</v>
      </c>
      <c r="H19" s="37"/>
      <c r="I19" s="37">
        <f t="shared" si="0"/>
        <v>0</v>
      </c>
      <c r="J19" s="37"/>
      <c r="K19" s="125">
        <f t="shared" si="1"/>
        <v>0</v>
      </c>
      <c r="L19" s="37"/>
      <c r="M19" s="37">
        <f>'درآمد سود صندوق'!K10</f>
        <v>429000000</v>
      </c>
      <c r="N19" s="37"/>
      <c r="O19" s="37">
        <f>IFERROR(VLOOKUP(A19,'درآمد ناشی از تغییر قیمت اوراق'!A:Q,17,0),0)</f>
        <v>0</v>
      </c>
      <c r="P19" s="37"/>
      <c r="Q19" s="37">
        <f>IFERROR(VLOOKUP(A19,'درآمد ناشی از فروش'!A:Q,17,0),0)</f>
        <v>7177154713</v>
      </c>
      <c r="R19" s="37"/>
      <c r="S19" s="37">
        <f t="shared" si="2"/>
        <v>7606154713</v>
      </c>
      <c r="T19" s="37"/>
      <c r="U19" s="125">
        <f>S19/درآمد!$E$13*100</f>
        <v>2.3101979909010806E-2</v>
      </c>
    </row>
    <row r="20" spans="1:21" ht="27.75" x14ac:dyDescent="0.4">
      <c r="A20" s="76" t="s">
        <v>152</v>
      </c>
      <c r="C20" s="37">
        <f>IFERROR(VLOOKUP(A20,'درآمد سود صندوق'!A:K,9,0),0)</f>
        <v>0</v>
      </c>
      <c r="D20" s="37"/>
      <c r="E20" s="37">
        <f>IFERROR(VLOOKUP(A20,'درآمد ناشی از تغییر قیمت اوراق'!A:Q,9,0),0)</f>
        <v>0</v>
      </c>
      <c r="F20" s="37"/>
      <c r="G20" s="37">
        <f>IFERROR(VLOOKUP(A20,'درآمد ناشی از فروش'!A:Q,9,0),0)</f>
        <v>0</v>
      </c>
      <c r="H20" s="37"/>
      <c r="I20" s="37">
        <f t="shared" si="0"/>
        <v>0</v>
      </c>
      <c r="J20" s="125"/>
      <c r="K20" s="125">
        <f t="shared" si="1"/>
        <v>0</v>
      </c>
      <c r="L20" s="125"/>
      <c r="M20" s="37">
        <f>'درآمد سود صندوق'!K11</f>
        <v>0</v>
      </c>
      <c r="N20" s="37"/>
      <c r="O20" s="37">
        <f>IFERROR(VLOOKUP(A20,'درآمد ناشی از تغییر قیمت اوراق'!A:Q,17,0),0)</f>
        <v>0</v>
      </c>
      <c r="P20" s="37"/>
      <c r="Q20" s="37">
        <f>IFERROR(VLOOKUP(A20,'درآمد ناشی از فروش'!A:Q,17,0),0)</f>
        <v>1019589170</v>
      </c>
      <c r="R20" s="37"/>
      <c r="S20" s="37">
        <f t="shared" si="2"/>
        <v>1019589170</v>
      </c>
      <c r="T20" s="125"/>
      <c r="U20" s="125">
        <f>S20/درآمد!$E$13*100</f>
        <v>3.0967722074502326E-3</v>
      </c>
    </row>
    <row r="21" spans="1:21" ht="27.75" x14ac:dyDescent="0.4">
      <c r="A21" s="76" t="s">
        <v>141</v>
      </c>
      <c r="C21" s="37">
        <f>IFERROR(VLOOKUP(A21,'درآمد سود صندوق'!A:K,9,0),0)</f>
        <v>0</v>
      </c>
      <c r="D21" s="37"/>
      <c r="E21" s="37">
        <f>IFERROR(VLOOKUP(A21,'درآمد ناشی از تغییر قیمت اوراق'!A:Q,9,0),0)</f>
        <v>0</v>
      </c>
      <c r="F21" s="37"/>
      <c r="G21" s="37">
        <f>IFERROR(VLOOKUP(A21,'درآمد ناشی از فروش'!A:Q,9,0),0)</f>
        <v>0</v>
      </c>
      <c r="H21" s="37"/>
      <c r="I21" s="37">
        <f t="shared" si="0"/>
        <v>0</v>
      </c>
      <c r="J21" s="37"/>
      <c r="K21" s="125">
        <f t="shared" si="1"/>
        <v>0</v>
      </c>
      <c r="L21" s="37"/>
      <c r="M21" s="37">
        <v>0</v>
      </c>
      <c r="N21" s="37"/>
      <c r="O21" s="37">
        <f>IFERROR(VLOOKUP(A21,'درآمد ناشی از تغییر قیمت اوراق'!A:Q,17,0),0)</f>
        <v>0</v>
      </c>
      <c r="P21" s="37"/>
      <c r="Q21" s="37">
        <f>IFERROR(VLOOKUP(A21,'درآمد ناشی از فروش'!A:Q,17,0),0)</f>
        <v>18259156890</v>
      </c>
      <c r="R21" s="37"/>
      <c r="S21" s="37">
        <f t="shared" si="2"/>
        <v>18259156890</v>
      </c>
      <c r="T21" s="37"/>
      <c r="U21" s="125">
        <f>S21/درآمد!$E$13*100</f>
        <v>5.5458071988372951E-2</v>
      </c>
    </row>
    <row r="22" spans="1:21" ht="27.75" x14ac:dyDescent="0.4">
      <c r="A22" s="76" t="s">
        <v>193</v>
      </c>
      <c r="C22" s="37">
        <f>IFERROR(VLOOKUP(A22,'درآمد سود صندوق'!A:K,9,0),0)</f>
        <v>0</v>
      </c>
      <c r="D22" s="37"/>
      <c r="E22" s="37">
        <f>IFERROR(VLOOKUP(A22,'درآمد ناشی از تغییر قیمت اوراق'!A:Q,9,0),0)</f>
        <v>0</v>
      </c>
      <c r="F22" s="37"/>
      <c r="G22" s="37">
        <f>IFERROR(VLOOKUP(A22,'درآمد ناشی از فروش'!A:Q,9,0),0)</f>
        <v>0</v>
      </c>
      <c r="H22" s="37"/>
      <c r="I22" s="37">
        <f t="shared" si="0"/>
        <v>0</v>
      </c>
      <c r="J22" s="37"/>
      <c r="K22" s="125">
        <f t="shared" si="1"/>
        <v>0</v>
      </c>
      <c r="L22" s="37"/>
      <c r="M22" s="37">
        <f>'درآمد سود صندوق'!K13</f>
        <v>0</v>
      </c>
      <c r="N22" s="37"/>
      <c r="O22" s="37">
        <f>IFERROR(VLOOKUP(A22,'درآمد ناشی از تغییر قیمت اوراق'!A:Q,17,0),0)</f>
        <v>0</v>
      </c>
      <c r="P22" s="37"/>
      <c r="Q22" s="37">
        <f>IFERROR(VLOOKUP(A22,'درآمد ناشی از فروش'!A:Q,17,0),0)</f>
        <v>-50105687</v>
      </c>
      <c r="R22" s="37"/>
      <c r="S22" s="37">
        <f t="shared" si="2"/>
        <v>-50105687</v>
      </c>
      <c r="T22" s="37"/>
      <c r="U22" s="125">
        <f>S22/درآمد!$E$13*100</f>
        <v>-1.521847264587956E-4</v>
      </c>
    </row>
    <row r="23" spans="1:21" ht="27.75" x14ac:dyDescent="0.4">
      <c r="A23" s="76" t="s">
        <v>172</v>
      </c>
      <c r="C23" s="37">
        <f>IFERROR(VLOOKUP(A23,'درآمد سود صندوق'!A:K,9,0),0)</f>
        <v>0</v>
      </c>
      <c r="D23" s="37"/>
      <c r="E23" s="37">
        <f>IFERROR(VLOOKUP(A23,'درآمد ناشی از تغییر قیمت اوراق'!A:Q,9,0),0)</f>
        <v>0</v>
      </c>
      <c r="F23" s="37"/>
      <c r="G23" s="37">
        <f>IFERROR(VLOOKUP(A23,'درآمد ناشی از فروش'!A:Q,9,0),0)</f>
        <v>0</v>
      </c>
      <c r="H23" s="37"/>
      <c r="I23" s="37">
        <f t="shared" si="0"/>
        <v>0</v>
      </c>
      <c r="J23" s="37"/>
      <c r="K23" s="125">
        <f t="shared" si="1"/>
        <v>0</v>
      </c>
      <c r="L23" s="37"/>
      <c r="M23" s="37">
        <f>'درآمد سود صندوق'!K14</f>
        <v>0</v>
      </c>
      <c r="N23" s="37"/>
      <c r="O23" s="37">
        <f>IFERROR(VLOOKUP(A23,'درآمد ناشی از تغییر قیمت اوراق'!A:Q,17,0),0)</f>
        <v>0</v>
      </c>
      <c r="P23" s="37"/>
      <c r="Q23" s="37">
        <f>IFERROR(VLOOKUP(A23,'درآمد ناشی از فروش'!A:Q,17,0),0)</f>
        <v>39071468215</v>
      </c>
      <c r="R23" s="37"/>
      <c r="S23" s="37">
        <f t="shared" si="2"/>
        <v>39071468215</v>
      </c>
      <c r="T23" s="37"/>
      <c r="U23" s="125">
        <f>S23/درآمد!$E$13*100</f>
        <v>0.11867077488915184</v>
      </c>
    </row>
    <row r="24" spans="1:21" ht="27.75" x14ac:dyDescent="0.4">
      <c r="A24" s="76" t="s">
        <v>42</v>
      </c>
      <c r="C24" s="37">
        <f>IFERROR(VLOOKUP(A24,'درآمد سود صندوق'!A:K,9,0),0)</f>
        <v>0</v>
      </c>
      <c r="D24" s="126"/>
      <c r="E24" s="37">
        <f>IFERROR(VLOOKUP(A24,'درآمد ناشی از تغییر قیمت اوراق'!A:Q,9,0),0)</f>
        <v>9286974164</v>
      </c>
      <c r="F24" s="126"/>
      <c r="G24" s="37">
        <f>IFERROR(VLOOKUP(A24,'درآمد ناشی از فروش'!A:Q,9,0),0)</f>
        <v>0</v>
      </c>
      <c r="H24" s="126"/>
      <c r="I24" s="37">
        <f t="shared" si="0"/>
        <v>9286974164</v>
      </c>
      <c r="J24" s="126"/>
      <c r="K24" s="125">
        <f t="shared" si="1"/>
        <v>9.0789696186212326E-2</v>
      </c>
      <c r="L24" s="126"/>
      <c r="M24" s="37">
        <v>0</v>
      </c>
      <c r="N24" s="126"/>
      <c r="O24" s="37">
        <f>IFERROR(VLOOKUP(A24,'درآمد ناشی از تغییر قیمت اوراق'!A:Q,17,0),0)</f>
        <v>29414383936</v>
      </c>
      <c r="P24" s="126"/>
      <c r="Q24" s="37">
        <f>IFERROR(VLOOKUP(A24,'درآمد ناشی از فروش'!A:Q,17,0),0)</f>
        <v>70875950736</v>
      </c>
      <c r="R24" s="126"/>
      <c r="S24" s="37">
        <f t="shared" si="2"/>
        <v>100290334672</v>
      </c>
      <c r="T24" s="126"/>
      <c r="U24" s="125">
        <f>S24/درآمد!$E$13*100</f>
        <v>0.30460927815478078</v>
      </c>
    </row>
    <row r="25" spans="1:21" ht="27.75" x14ac:dyDescent="0.4">
      <c r="A25" s="76" t="s">
        <v>175</v>
      </c>
      <c r="C25" s="37">
        <f>IFERROR(VLOOKUP(A25,'درآمد سود صندوق'!A:K,9,0),0)</f>
        <v>0</v>
      </c>
      <c r="D25" s="126"/>
      <c r="E25" s="37">
        <f>IFERROR(VLOOKUP(A25,'درآمد ناشی از تغییر قیمت اوراق'!A:Q,9,0),0)</f>
        <v>0</v>
      </c>
      <c r="F25" s="126"/>
      <c r="G25" s="37">
        <f>IFERROR(VLOOKUP(A25,'درآمد ناشی از فروش'!A:Q,9,0),0)</f>
        <v>0</v>
      </c>
      <c r="H25" s="126"/>
      <c r="I25" s="37">
        <f t="shared" si="0"/>
        <v>0</v>
      </c>
      <c r="J25" s="126"/>
      <c r="K25" s="125">
        <f t="shared" si="1"/>
        <v>0</v>
      </c>
      <c r="L25" s="126"/>
      <c r="M25" s="37">
        <f>'درآمد سود صندوق'!K16</f>
        <v>0</v>
      </c>
      <c r="N25" s="126"/>
      <c r="O25" s="37">
        <f>IFERROR(VLOOKUP(A25,'درآمد ناشی از تغییر قیمت اوراق'!A:Q,17,0),0)</f>
        <v>0</v>
      </c>
      <c r="P25" s="126"/>
      <c r="Q25" s="37">
        <f>IFERROR(VLOOKUP(A25,'درآمد ناشی از فروش'!A:Q,17,0),0)</f>
        <v>10444528218</v>
      </c>
      <c r="R25" s="126"/>
      <c r="S25" s="37">
        <f t="shared" si="2"/>
        <v>10444528218</v>
      </c>
      <c r="T25" s="126"/>
      <c r="U25" s="125">
        <f>S25/درآمد!$E$13*100</f>
        <v>3.1722899435497248E-2</v>
      </c>
    </row>
    <row r="26" spans="1:21" ht="27.75" x14ac:dyDescent="0.4">
      <c r="A26" s="76" t="s">
        <v>150</v>
      </c>
      <c r="C26" s="37">
        <f>IFERROR(VLOOKUP(A26,'درآمد سود صندوق'!A:K,9,0),0)</f>
        <v>0</v>
      </c>
      <c r="D26" s="126"/>
      <c r="E26" s="37">
        <f>IFERROR(VLOOKUP(A26,'درآمد ناشی از تغییر قیمت اوراق'!A:Q,9,0),0)</f>
        <v>0</v>
      </c>
      <c r="F26" s="126"/>
      <c r="G26" s="37">
        <f>IFERROR(VLOOKUP(A26,'درآمد ناشی از فروش'!A:Q,9,0),0)</f>
        <v>0</v>
      </c>
      <c r="H26" s="126"/>
      <c r="I26" s="37">
        <f t="shared" si="0"/>
        <v>0</v>
      </c>
      <c r="J26" s="126"/>
      <c r="K26" s="125">
        <f t="shared" si="1"/>
        <v>0</v>
      </c>
      <c r="L26" s="126"/>
      <c r="M26" s="37">
        <f>'درآمد سود صندوق'!K17</f>
        <v>0</v>
      </c>
      <c r="N26" s="126"/>
      <c r="O26" s="37">
        <f>IFERROR(VLOOKUP(A26,'درآمد ناشی از تغییر قیمت اوراق'!A:Q,17,0),0)</f>
        <v>0</v>
      </c>
      <c r="P26" s="126"/>
      <c r="Q26" s="37">
        <f>IFERROR(VLOOKUP(A26,'درآمد ناشی از فروش'!A:Q,17,0),0)</f>
        <v>3659996526</v>
      </c>
      <c r="R26" s="126"/>
      <c r="S26" s="37">
        <f t="shared" si="2"/>
        <v>3659996526</v>
      </c>
      <c r="T26" s="126"/>
      <c r="U26" s="125">
        <f>S26/درآمد!$E$13*100</f>
        <v>1.1116414193651355E-2</v>
      </c>
    </row>
    <row r="27" spans="1:21" ht="28.5" thickBot="1" x14ac:dyDescent="0.45">
      <c r="A27" s="76"/>
      <c r="C27" s="183">
        <f>SUM(C10:C26)</f>
        <v>0</v>
      </c>
      <c r="D27" s="37"/>
      <c r="E27" s="183">
        <f>SUM(E10:E26)</f>
        <v>55258816457</v>
      </c>
      <c r="F27" s="37"/>
      <c r="G27" s="183">
        <f>SUM(G10:G26)</f>
        <v>108553155060</v>
      </c>
      <c r="H27" s="37"/>
      <c r="I27" s="183">
        <f>SUM(I10:I26)</f>
        <v>163811971517</v>
      </c>
      <c r="J27" s="37"/>
      <c r="K27" s="127">
        <f>SUM(K10:K26)</f>
        <v>1.6014300097166609</v>
      </c>
      <c r="L27" s="37"/>
      <c r="M27" s="183">
        <f>SUM(M10:M26)</f>
        <v>429000000</v>
      </c>
      <c r="N27" s="37"/>
      <c r="O27" s="183">
        <f>SUM(O10:O26)</f>
        <v>314755465511</v>
      </c>
      <c r="P27" s="37"/>
      <c r="Q27" s="183">
        <f>SUM(Q10:Q26)</f>
        <v>602527059474</v>
      </c>
      <c r="R27" s="37"/>
      <c r="S27" s="183">
        <f>SUM(S10:S26)</f>
        <v>917711524985</v>
      </c>
      <c r="T27" s="37"/>
      <c r="U27" s="127">
        <f>SUM(U10:U26)</f>
        <v>2.7873418320344827</v>
      </c>
    </row>
    <row r="28" spans="1:21" ht="28.5" thickTop="1" x14ac:dyDescent="0.4">
      <c r="A28" s="76"/>
    </row>
    <row r="29" spans="1:21" ht="27.75" x14ac:dyDescent="0.4">
      <c r="A29" s="76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</row>
    <row r="30" spans="1:21" ht="24.75" x14ac:dyDescent="0.4">
      <c r="A30" s="9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ht="24.75" x14ac:dyDescent="0.4">
      <c r="A31" s="9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</row>
    <row r="32" spans="1:21" ht="22.5" x14ac:dyDescent="0.4">
      <c r="A32" s="94"/>
    </row>
    <row r="33" spans="1:5" ht="22.5" x14ac:dyDescent="0.4">
      <c r="A33" s="94"/>
    </row>
    <row r="34" spans="1:5" ht="22.5" x14ac:dyDescent="0.4">
      <c r="A34" s="94"/>
    </row>
    <row r="35" spans="1:5" ht="22.5" x14ac:dyDescent="0.4">
      <c r="A35" s="94"/>
    </row>
    <row r="36" spans="1:5" ht="22.5" x14ac:dyDescent="0.4">
      <c r="A36" s="94"/>
    </row>
    <row r="41" spans="1:5" ht="24.75" x14ac:dyDescent="0.6">
      <c r="E41" s="93"/>
    </row>
  </sheetData>
  <sortState xmlns:xlrd2="http://schemas.microsoft.com/office/spreadsheetml/2017/richdata2" ref="A10:U19">
    <sortCondition descending="1" ref="S10:S19"/>
  </sortState>
  <mergeCells count="10">
    <mergeCell ref="A1:U1"/>
    <mergeCell ref="A2:U2"/>
    <mergeCell ref="A3:U3"/>
    <mergeCell ref="I8:K8"/>
    <mergeCell ref="S8:U8"/>
    <mergeCell ref="A8:A9"/>
    <mergeCell ref="C6:U6"/>
    <mergeCell ref="A5:U5"/>
    <mergeCell ref="C7:K7"/>
    <mergeCell ref="M7:U7"/>
  </mergeCells>
  <conditionalFormatting sqref="A10:A29">
    <cfRule type="duplicateValues" dxfId="0" priority="7"/>
  </conditionalFormatting>
  <pageMargins left="0.39" right="0.39" top="0.39" bottom="0.39" header="0" footer="0"/>
  <pageSetup scale="41" fitToHeight="0" orientation="landscape" r:id="rId1"/>
  <ignoredErrors>
    <ignoredError sqref="M1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3"/>
  <sheetViews>
    <sheetView rightToLeft="1" view="pageBreakPreview" zoomScale="80" zoomScaleNormal="100" zoomScaleSheetLayoutView="80" workbookViewId="0">
      <selection activeCell="Q16" sqref="A16:Q20"/>
    </sheetView>
  </sheetViews>
  <sheetFormatPr defaultColWidth="9.140625" defaultRowHeight="15.75" x14ac:dyDescent="0.4"/>
  <cols>
    <col min="1" max="1" width="37.42578125" style="19" customWidth="1"/>
    <col min="2" max="2" width="1.42578125" style="19" customWidth="1"/>
    <col min="3" max="3" width="21.42578125" style="68" bestFit="1" customWidth="1"/>
    <col min="4" max="4" width="1.42578125" style="68" customWidth="1"/>
    <col min="5" max="5" width="23" style="68" bestFit="1" customWidth="1"/>
    <col min="6" max="6" width="1.42578125" style="68" customWidth="1"/>
    <col min="7" max="7" width="21.28515625" style="68" bestFit="1" customWidth="1"/>
    <col min="8" max="8" width="1.42578125" style="68" customWidth="1"/>
    <col min="9" max="9" width="22.85546875" style="68" bestFit="1" customWidth="1"/>
    <col min="10" max="10" width="1.42578125" style="19" customWidth="1"/>
    <col min="11" max="11" width="25.7109375" style="19" bestFit="1" customWidth="1"/>
    <col min="12" max="12" width="1.42578125" style="19" customWidth="1"/>
    <col min="13" max="13" width="21.7109375" style="68" bestFit="1" customWidth="1"/>
    <col min="14" max="14" width="1.42578125" style="68" customWidth="1"/>
    <col min="15" max="15" width="23" style="68" bestFit="1" customWidth="1"/>
    <col min="16" max="16" width="1.42578125" style="68" customWidth="1"/>
    <col min="17" max="17" width="21.28515625" style="68" bestFit="1" customWidth="1"/>
    <col min="18" max="18" width="1.42578125" style="19" customWidth="1"/>
    <col min="19" max="19" width="23.85546875" style="19" bestFit="1" customWidth="1"/>
    <col min="20" max="20" width="1.42578125" style="19" customWidth="1"/>
    <col min="21" max="21" width="25.7109375" style="31" bestFit="1" customWidth="1"/>
    <col min="22" max="22" width="1.42578125" style="19" customWidth="1"/>
    <col min="23" max="23" width="28" style="19" customWidth="1"/>
    <col min="24" max="16384" width="9.140625" style="19"/>
  </cols>
  <sheetData>
    <row r="1" spans="1:21" ht="40.5" customHeight="1" x14ac:dyDescent="0.4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</row>
    <row r="2" spans="1:21" ht="40.5" customHeight="1" x14ac:dyDescent="0.4">
      <c r="A2" s="208" t="s">
        <v>58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</row>
    <row r="3" spans="1:21" ht="40.5" customHeight="1" x14ac:dyDescent="0.4">
      <c r="A3" s="208" t="str">
        <f>درآمد!A3</f>
        <v>دوره یک ماهه منتهی به 30 مهر 1405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</row>
    <row r="4" spans="1:21" ht="40.5" customHeight="1" x14ac:dyDescent="0.4"/>
    <row r="5" spans="1:21" ht="40.5" customHeight="1" x14ac:dyDescent="0.4">
      <c r="A5" s="207" t="s">
        <v>169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</row>
    <row r="6" spans="1:21" ht="40.5" customHeight="1" x14ac:dyDescent="0.4">
      <c r="A6" s="32"/>
      <c r="B6" s="32"/>
      <c r="C6" s="209" t="s">
        <v>102</v>
      </c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</row>
    <row r="7" spans="1:21" ht="40.5" customHeight="1" thickBot="1" x14ac:dyDescent="0.7">
      <c r="A7" s="27"/>
      <c r="B7" s="27"/>
      <c r="C7" s="198" t="str">
        <f>'درآمد سرمایه گذاری در سهام'!C7</f>
        <v>طی مهر ماه</v>
      </c>
      <c r="D7" s="198"/>
      <c r="E7" s="198"/>
      <c r="F7" s="198"/>
      <c r="G7" s="198"/>
      <c r="H7" s="198"/>
      <c r="I7" s="198"/>
      <c r="J7" s="198"/>
      <c r="K7" s="198"/>
      <c r="L7" s="27"/>
      <c r="M7" s="198" t="str">
        <f>'درآمد سرمایه گذاری در سهام'!M7</f>
        <v>از ابتدای سال مالی تا پایان مهر ماه</v>
      </c>
      <c r="N7" s="198"/>
      <c r="O7" s="198"/>
      <c r="P7" s="198"/>
      <c r="Q7" s="198"/>
      <c r="R7" s="198"/>
      <c r="S7" s="198"/>
      <c r="T7" s="198"/>
      <c r="U7" s="198"/>
    </row>
    <row r="8" spans="1:21" ht="40.5" customHeight="1" thickBot="1" x14ac:dyDescent="0.7">
      <c r="A8" s="197" t="s">
        <v>121</v>
      </c>
      <c r="B8" s="27"/>
      <c r="C8" s="80" t="s">
        <v>71</v>
      </c>
      <c r="D8" s="77"/>
      <c r="E8" s="80" t="s">
        <v>66</v>
      </c>
      <c r="F8" s="77"/>
      <c r="G8" s="80" t="s">
        <v>67</v>
      </c>
      <c r="H8" s="77"/>
      <c r="I8" s="198" t="s">
        <v>29</v>
      </c>
      <c r="J8" s="198"/>
      <c r="K8" s="198"/>
      <c r="L8" s="27"/>
      <c r="M8" s="80" t="s">
        <v>71</v>
      </c>
      <c r="N8" s="77"/>
      <c r="O8" s="80" t="s">
        <v>66</v>
      </c>
      <c r="P8" s="77"/>
      <c r="Q8" s="80" t="s">
        <v>67</v>
      </c>
      <c r="R8" s="27"/>
      <c r="S8" s="198" t="s">
        <v>29</v>
      </c>
      <c r="T8" s="198"/>
      <c r="U8" s="198"/>
    </row>
    <row r="9" spans="1:21" ht="40.5" customHeight="1" thickBot="1" x14ac:dyDescent="0.7">
      <c r="A9" s="198"/>
      <c r="B9" s="27"/>
      <c r="C9" s="92" t="s">
        <v>117</v>
      </c>
      <c r="D9" s="80"/>
      <c r="E9" s="92" t="s">
        <v>118</v>
      </c>
      <c r="F9" s="80"/>
      <c r="G9" s="92" t="s">
        <v>119</v>
      </c>
      <c r="H9" s="77"/>
      <c r="I9" s="92" t="s">
        <v>55</v>
      </c>
      <c r="J9" s="27"/>
      <c r="K9" s="38" t="s">
        <v>61</v>
      </c>
      <c r="L9" s="27"/>
      <c r="M9" s="92" t="s">
        <v>117</v>
      </c>
      <c r="N9" s="80"/>
      <c r="O9" s="92" t="s">
        <v>118</v>
      </c>
      <c r="P9" s="80"/>
      <c r="Q9" s="92" t="s">
        <v>119</v>
      </c>
      <c r="R9" s="27"/>
      <c r="S9" s="38" t="s">
        <v>55</v>
      </c>
      <c r="T9" s="27"/>
      <c r="U9" s="57" t="s">
        <v>61</v>
      </c>
    </row>
    <row r="10" spans="1:21" ht="40.5" customHeight="1" x14ac:dyDescent="0.6">
      <c r="A10" s="37" t="s">
        <v>50</v>
      </c>
      <c r="B10" s="21"/>
      <c r="C10" s="37">
        <f>IFERROR(VLOOKUP(A10,'سود اوراق بهادار'!A:M,3,0),0)</f>
        <v>28045560277</v>
      </c>
      <c r="D10" s="37"/>
      <c r="E10" s="37">
        <f>IFERROR(VLOOKUP(A10,'درآمد ناشی از تغییر قیمت اوراق'!A:Q,9,0),0)</f>
        <v>1001691430</v>
      </c>
      <c r="F10" s="37"/>
      <c r="G10" s="37">
        <f>IFERROR(VLOOKUP(A10,'درآمد ناشی از فروش'!A:Q,9,0),0)</f>
        <v>-207816430</v>
      </c>
      <c r="H10" s="37"/>
      <c r="I10" s="37">
        <f>C10+E10+G10</f>
        <v>28839435277</v>
      </c>
      <c r="J10" s="37"/>
      <c r="K10" s="149">
        <f>I10/10229105894299*100</f>
        <v>0.28193505449066786</v>
      </c>
      <c r="L10" s="37"/>
      <c r="M10" s="37">
        <f>IFERROR(VLOOKUP(A10,'سود اوراق بهادار'!A:M,9,0),0)</f>
        <v>154622830473</v>
      </c>
      <c r="N10" s="37"/>
      <c r="O10" s="37">
        <f>IFERROR(VLOOKUP(A10,'درآمد ناشی از تغییر قیمت اوراق'!A:Q,17,0),0)</f>
        <v>-591638945</v>
      </c>
      <c r="P10" s="37"/>
      <c r="Q10" s="37">
        <f>IFERROR(VLOOKUP(A10,'درآمد ناشی از فروش'!A:Q,17,0),0)</f>
        <v>-207081049</v>
      </c>
      <c r="R10" s="37"/>
      <c r="S10" s="147">
        <f>M10+O10+Q10</f>
        <v>153824110479</v>
      </c>
      <c r="T10" s="155"/>
      <c r="U10" s="149">
        <f>S10/درآمد!$E$13*100</f>
        <v>0.46720605140119464</v>
      </c>
    </row>
    <row r="11" spans="1:21" ht="40.5" customHeight="1" thickBot="1" x14ac:dyDescent="0.65">
      <c r="A11" s="37" t="s">
        <v>54</v>
      </c>
      <c r="B11" s="21"/>
      <c r="C11" s="37">
        <f>IFERROR(VLOOKUP(A11,'سود اوراق بهادار'!A:M,3,0),0)</f>
        <v>0</v>
      </c>
      <c r="D11" s="37"/>
      <c r="E11" s="37">
        <f>IFERROR(VLOOKUP(A11,'درآمد ناشی از تغییر قیمت اوراق'!A:Q,9,0),0)</f>
        <v>0</v>
      </c>
      <c r="F11" s="37"/>
      <c r="G11" s="37">
        <f>IFERROR(VLOOKUP(A11,'درآمد ناشی از فروش'!A:Q,9,0),0)</f>
        <v>0</v>
      </c>
      <c r="H11" s="37"/>
      <c r="I11" s="37">
        <f>C11+E11+G11</f>
        <v>0</v>
      </c>
      <c r="J11" s="37"/>
      <c r="K11" s="149">
        <f>I11/10229105894299*100</f>
        <v>0</v>
      </c>
      <c r="L11" s="37"/>
      <c r="M11" s="37">
        <f>IFERROR(VLOOKUP(A11,'سود اوراق بهادار'!A:M,9,0),0)</f>
        <v>3881554</v>
      </c>
      <c r="N11" s="37"/>
      <c r="O11" s="37">
        <f>IFERROR(VLOOKUP(A11,'درآمد ناشی از تغییر قیمت اوراق'!A:Q,17,0),0)</f>
        <v>0</v>
      </c>
      <c r="P11" s="37"/>
      <c r="Q11" s="37">
        <f>IFERROR(VLOOKUP(A11,'درآمد ناشی از فروش'!A:Q,17,0),0)</f>
        <v>72500</v>
      </c>
      <c r="R11" s="37"/>
      <c r="S11" s="37">
        <f>M11+O11+Q11</f>
        <v>3954054</v>
      </c>
      <c r="T11" s="155"/>
      <c r="U11" s="149">
        <f>S11/درآمد!$E$13*100</f>
        <v>1.2009547467003227E-5</v>
      </c>
    </row>
    <row r="12" spans="1:21" ht="40.5" customHeight="1" thickBot="1" x14ac:dyDescent="0.7">
      <c r="A12" s="37"/>
      <c r="B12" s="21"/>
      <c r="C12" s="132">
        <f>SUM(C10:C11)</f>
        <v>28045560277</v>
      </c>
      <c r="D12" s="53"/>
      <c r="E12" s="132">
        <f>SUM(E10:E11)</f>
        <v>1001691430</v>
      </c>
      <c r="F12" s="53"/>
      <c r="G12" s="132">
        <f>SUM(G10:G11)</f>
        <v>-207816430</v>
      </c>
      <c r="H12" s="53"/>
      <c r="I12" s="132">
        <f>SUM(I10:I11)</f>
        <v>28839435277</v>
      </c>
      <c r="J12" s="53"/>
      <c r="K12" s="156">
        <f>SUM(K10:K11)</f>
        <v>0.28193505449066786</v>
      </c>
      <c r="L12" s="53"/>
      <c r="M12" s="132">
        <f>SUM(M10:M11)</f>
        <v>154626712027</v>
      </c>
      <c r="N12" s="53"/>
      <c r="O12" s="132">
        <f>SUM(O10:O11)</f>
        <v>-591638945</v>
      </c>
      <c r="P12" s="53"/>
      <c r="Q12" s="132">
        <f>SUM(Q10:Q11)</f>
        <v>-207008549</v>
      </c>
      <c r="R12" s="53"/>
      <c r="S12" s="132">
        <f>SUM(S10:S11)</f>
        <v>153828064533</v>
      </c>
      <c r="T12" s="157"/>
      <c r="U12" s="156">
        <f>SUM(U10:U11)</f>
        <v>0.46721806094866164</v>
      </c>
    </row>
    <row r="13" spans="1:21" ht="19.5" thickTop="1" x14ac:dyDescent="0.4">
      <c r="A13" s="30"/>
    </row>
    <row r="14" spans="1:21" hidden="1" x14ac:dyDescent="0.4">
      <c r="C14" s="98">
        <v>14731797956</v>
      </c>
      <c r="D14" s="98"/>
      <c r="E14" s="98">
        <f>'درآمد ناشی از تغییر قیمت اوراق'!I46</f>
        <v>1001691430</v>
      </c>
      <c r="F14" s="98"/>
      <c r="G14" s="98">
        <f>'درآمد ناشی از فروش'!I53</f>
        <v>-207816430</v>
      </c>
      <c r="H14" s="98"/>
      <c r="I14" s="98"/>
      <c r="J14" s="29"/>
      <c r="K14" s="29"/>
      <c r="L14" s="29"/>
      <c r="M14" s="98">
        <v>93352772901</v>
      </c>
      <c r="N14" s="98"/>
      <c r="O14" s="98">
        <f>'درآمد ناشی از تغییر قیمت اوراق'!Q46</f>
        <v>-591638945</v>
      </c>
      <c r="P14" s="98"/>
      <c r="Q14" s="98">
        <v>10432881</v>
      </c>
      <c r="R14" s="29"/>
      <c r="S14" s="29"/>
    </row>
    <row r="15" spans="1:21" hidden="1" x14ac:dyDescent="0.4">
      <c r="C15" s="98">
        <f>C14-C12</f>
        <v>-13313762321</v>
      </c>
      <c r="D15" s="98"/>
      <c r="E15" s="98">
        <f>E14-E12</f>
        <v>0</v>
      </c>
      <c r="F15" s="98"/>
      <c r="G15" s="98">
        <f>G14-G12</f>
        <v>0</v>
      </c>
      <c r="H15" s="98"/>
      <c r="I15" s="98"/>
      <c r="J15" s="29"/>
      <c r="K15" s="29"/>
      <c r="L15" s="29"/>
      <c r="M15" s="98">
        <f>M14-M12</f>
        <v>-61273939126</v>
      </c>
      <c r="N15" s="98"/>
      <c r="O15" s="98">
        <f>O14-O12</f>
        <v>0</v>
      </c>
      <c r="P15" s="98"/>
      <c r="Q15" s="98">
        <f>Q14-Q12</f>
        <v>217441430</v>
      </c>
      <c r="R15" s="29"/>
      <c r="S15" s="29"/>
    </row>
    <row r="16" spans="1:21" ht="24.75" x14ac:dyDescent="0.4"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</row>
    <row r="17" spans="1:21" ht="24.75" x14ac:dyDescent="0.4"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</row>
    <row r="18" spans="1:21" ht="24.75" x14ac:dyDescent="0.4"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</row>
    <row r="19" spans="1:21" ht="24.75" x14ac:dyDescent="0.4">
      <c r="A19" s="9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ht="24.75" x14ac:dyDescent="0.4">
      <c r="A20" s="9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ht="22.5" x14ac:dyDescent="0.4">
      <c r="A21" s="9"/>
      <c r="C21" s="67"/>
      <c r="M21" s="67"/>
    </row>
    <row r="22" spans="1:21" ht="22.5" x14ac:dyDescent="0.4">
      <c r="A22" s="9"/>
      <c r="C22" s="67"/>
      <c r="M22" s="67"/>
    </row>
    <row r="23" spans="1:21" ht="22.5" x14ac:dyDescent="0.4">
      <c r="A23" s="9"/>
      <c r="C23" s="67"/>
      <c r="M23" s="67"/>
    </row>
  </sheetData>
  <sortState xmlns:xlrd2="http://schemas.microsoft.com/office/spreadsheetml/2017/richdata2" ref="A10:U11">
    <sortCondition descending="1" ref="S10:S11"/>
  </sortState>
  <mergeCells count="10">
    <mergeCell ref="I8:K8"/>
    <mergeCell ref="S8:U8"/>
    <mergeCell ref="M7:U7"/>
    <mergeCell ref="C7:K7"/>
    <mergeCell ref="A1:U1"/>
    <mergeCell ref="A2:U2"/>
    <mergeCell ref="A3:U3"/>
    <mergeCell ref="A5:U5"/>
    <mergeCell ref="C6:U6"/>
    <mergeCell ref="A8:A9"/>
  </mergeCells>
  <pageMargins left="0.39" right="0.39" top="0.39" bottom="0.39" header="0" footer="0"/>
  <pageSetup scale="4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8"/>
  <sheetViews>
    <sheetView rightToLeft="1" view="pageBreakPreview" zoomScale="74" zoomScaleNormal="100" zoomScaleSheetLayoutView="74" workbookViewId="0">
      <selection activeCell="G17" sqref="A17:G20"/>
    </sheetView>
  </sheetViews>
  <sheetFormatPr defaultColWidth="9.140625" defaultRowHeight="15.75" x14ac:dyDescent="0.4"/>
  <cols>
    <col min="1" max="1" width="40.28515625" style="17" customWidth="1"/>
    <col min="2" max="2" width="1.42578125" style="17" customWidth="1"/>
    <col min="3" max="3" width="42.85546875" style="17" customWidth="1"/>
    <col min="4" max="4" width="1.42578125" style="17" customWidth="1"/>
    <col min="5" max="5" width="40.140625" style="17" customWidth="1"/>
    <col min="6" max="6" width="1.42578125" style="17" customWidth="1"/>
    <col min="7" max="7" width="44.42578125" style="17" customWidth="1"/>
    <col min="8" max="8" width="1.42578125" style="17" customWidth="1"/>
    <col min="9" max="9" width="39.140625" style="17" customWidth="1"/>
    <col min="10" max="10" width="1.42578125" style="17" customWidth="1"/>
    <col min="11" max="16384" width="9.140625" style="17"/>
  </cols>
  <sheetData>
    <row r="1" spans="1:9" ht="40.5" customHeight="1" x14ac:dyDescent="0.4">
      <c r="A1" s="193" t="s">
        <v>0</v>
      </c>
      <c r="B1" s="193"/>
      <c r="C1" s="193"/>
      <c r="D1" s="193"/>
      <c r="E1" s="193"/>
      <c r="F1" s="193"/>
      <c r="G1" s="193"/>
      <c r="H1" s="193"/>
      <c r="I1" s="193"/>
    </row>
    <row r="2" spans="1:9" ht="40.5" customHeight="1" x14ac:dyDescent="0.4">
      <c r="A2" s="193" t="s">
        <v>58</v>
      </c>
      <c r="B2" s="193"/>
      <c r="C2" s="193"/>
      <c r="D2" s="193"/>
      <c r="E2" s="193"/>
      <c r="F2" s="193"/>
      <c r="G2" s="193"/>
      <c r="H2" s="193"/>
      <c r="I2" s="193"/>
    </row>
    <row r="3" spans="1:9" ht="40.5" customHeight="1" x14ac:dyDescent="0.4">
      <c r="A3" s="193" t="str">
        <f>درآمد!A3</f>
        <v>دوره یک ماهه منتهی به 30 مهر 1405</v>
      </c>
      <c r="B3" s="193"/>
      <c r="C3" s="193"/>
      <c r="D3" s="193"/>
      <c r="E3" s="193"/>
      <c r="F3" s="193"/>
      <c r="G3" s="193"/>
      <c r="H3" s="193"/>
      <c r="I3" s="193"/>
    </row>
    <row r="4" spans="1:9" ht="40.5" customHeight="1" x14ac:dyDescent="0.4"/>
    <row r="5" spans="1:9" ht="40.5" customHeight="1" x14ac:dyDescent="0.4">
      <c r="A5" s="192" t="s">
        <v>170</v>
      </c>
      <c r="B5" s="192"/>
      <c r="C5" s="192"/>
      <c r="D5" s="192"/>
      <c r="E5" s="192"/>
      <c r="F5" s="192"/>
      <c r="G5" s="192"/>
      <c r="H5" s="192"/>
      <c r="I5" s="192"/>
    </row>
    <row r="6" spans="1:9" ht="40.5" customHeight="1" x14ac:dyDescent="0.4">
      <c r="A6" s="15"/>
      <c r="B6" s="15"/>
      <c r="C6" s="211" t="s">
        <v>102</v>
      </c>
      <c r="D6" s="211"/>
      <c r="E6" s="211"/>
      <c r="F6" s="211"/>
      <c r="G6" s="211"/>
      <c r="H6" s="211"/>
      <c r="I6" s="211"/>
    </row>
    <row r="7" spans="1:9" ht="40.5" customHeight="1" thickBot="1" x14ac:dyDescent="0.7">
      <c r="C7" s="198" t="str">
        <f>'درآمد سرمایه گذاری در سهام'!C7</f>
        <v>طی مهر ماه</v>
      </c>
      <c r="D7" s="188"/>
      <c r="E7" s="188"/>
      <c r="F7" s="23"/>
      <c r="G7" s="198" t="str">
        <f>'درآمد سرمایه گذاری در سهام'!M7</f>
        <v>از ابتدای سال مالی تا پایان مهر ماه</v>
      </c>
      <c r="H7" s="188"/>
      <c r="I7" s="188"/>
    </row>
    <row r="8" spans="1:9" ht="46.5" customHeight="1" x14ac:dyDescent="0.65">
      <c r="A8" s="187" t="s">
        <v>78</v>
      </c>
      <c r="B8" s="23"/>
      <c r="C8" s="56" t="s">
        <v>79</v>
      </c>
      <c r="D8" s="55"/>
      <c r="E8" s="189" t="s">
        <v>80</v>
      </c>
      <c r="F8" s="23"/>
      <c r="G8" s="56" t="s">
        <v>79</v>
      </c>
      <c r="H8" s="55"/>
      <c r="I8" s="189" t="s">
        <v>80</v>
      </c>
    </row>
    <row r="9" spans="1:9" ht="36.4" customHeight="1" thickBot="1" x14ac:dyDescent="0.7">
      <c r="A9" s="188"/>
      <c r="B9" s="23"/>
      <c r="C9" s="41" t="s">
        <v>120</v>
      </c>
      <c r="D9" s="23"/>
      <c r="E9" s="190"/>
      <c r="F9" s="23"/>
      <c r="G9" s="41" t="s">
        <v>120</v>
      </c>
      <c r="H9" s="23"/>
      <c r="I9" s="190"/>
    </row>
    <row r="10" spans="1:9" ht="35.25" customHeight="1" x14ac:dyDescent="0.6">
      <c r="A10" s="34" t="s">
        <v>177</v>
      </c>
      <c r="B10" s="18"/>
      <c r="C10" s="158">
        <f>IFERROR(VLOOKUP(A10,'سود سپرده بانکی'!A:M,3,0),0)</f>
        <v>12598173607</v>
      </c>
      <c r="D10" s="34"/>
      <c r="E10" s="131">
        <f>C10/$C$13*100</f>
        <v>100</v>
      </c>
      <c r="F10" s="34"/>
      <c r="G10" s="158">
        <f>IFERROR(VLOOKUP(A10,'سود سپرده بانکی'!A:M,9,0),0)</f>
        <v>37711496159</v>
      </c>
      <c r="H10" s="34"/>
      <c r="I10" s="131">
        <f>G10/$G$13*100</f>
        <v>98.530003808411877</v>
      </c>
    </row>
    <row r="11" spans="1:9" ht="35.25" customHeight="1" x14ac:dyDescent="0.6">
      <c r="A11" s="34" t="s">
        <v>104</v>
      </c>
      <c r="B11" s="18"/>
      <c r="C11" s="158">
        <f>IFERROR(VLOOKUP(A11,'سود سپرده بانکی'!A:M,3,0),0)</f>
        <v>0</v>
      </c>
      <c r="D11" s="34"/>
      <c r="E11" s="131">
        <f>C11/$C$13*100</f>
        <v>0</v>
      </c>
      <c r="F11" s="34"/>
      <c r="G11" s="158">
        <f>IFERROR(VLOOKUP(A11,'سود سپرده بانکی'!A:M,9,0),0)</f>
        <v>530374870</v>
      </c>
      <c r="H11" s="34"/>
      <c r="I11" s="131">
        <f>G11/$G$13*100</f>
        <v>1.3857269873530174</v>
      </c>
    </row>
    <row r="12" spans="1:9" ht="35.25" customHeight="1" thickBot="1" x14ac:dyDescent="0.65">
      <c r="A12" s="34" t="s">
        <v>105</v>
      </c>
      <c r="B12" s="18"/>
      <c r="C12" s="159">
        <f>IFERROR(VLOOKUP(A12,'سود سپرده بانکی'!A:M,3,0),0)</f>
        <v>0</v>
      </c>
      <c r="D12" s="34"/>
      <c r="E12" s="160">
        <f>C12/$C$13*100</f>
        <v>0</v>
      </c>
      <c r="F12" s="34"/>
      <c r="G12" s="159">
        <f>IFERROR(VLOOKUP(A12,'سود سپرده بانکی'!A:M,9,0),0)</f>
        <v>32253300</v>
      </c>
      <c r="H12" s="34"/>
      <c r="I12" s="160">
        <f>G12/$G$13*100</f>
        <v>8.4269204235097109E-2</v>
      </c>
    </row>
    <row r="13" spans="1:9" ht="35.25" customHeight="1" thickBot="1" x14ac:dyDescent="0.65">
      <c r="A13" s="34"/>
      <c r="B13" s="18"/>
      <c r="C13" s="161">
        <f>SUM(C10:C12)</f>
        <v>12598173607</v>
      </c>
      <c r="D13" s="48"/>
      <c r="E13" s="161">
        <f>SUM(E10:E12)</f>
        <v>100</v>
      </c>
      <c r="F13" s="48"/>
      <c r="G13" s="161">
        <f>SUM(G10:G12)</f>
        <v>38274124329</v>
      </c>
      <c r="H13" s="48"/>
      <c r="I13" s="161">
        <f>SUM(I10:I12)</f>
        <v>100</v>
      </c>
    </row>
    <row r="14" spans="1:9" ht="16.5" thickTop="1" x14ac:dyDescent="0.4">
      <c r="I14" s="17" t="s">
        <v>179</v>
      </c>
    </row>
    <row r="15" spans="1:9" ht="24.75" hidden="1" x14ac:dyDescent="0.6">
      <c r="C15" s="43">
        <v>17511805161</v>
      </c>
      <c r="D15" s="24"/>
      <c r="E15" s="24"/>
      <c r="F15" s="24"/>
      <c r="G15" s="43">
        <v>18074590047</v>
      </c>
      <c r="H15" s="18"/>
      <c r="I15" s="18"/>
    </row>
    <row r="16" spans="1:9" ht="24.75" hidden="1" x14ac:dyDescent="0.6">
      <c r="C16" s="43">
        <f>C15-C13</f>
        <v>4913631554</v>
      </c>
      <c r="D16" s="24"/>
      <c r="E16" s="24"/>
      <c r="F16" s="24"/>
      <c r="G16" s="43">
        <f>G15-G13</f>
        <v>-20199534282</v>
      </c>
      <c r="H16" s="18"/>
      <c r="I16" s="18"/>
    </row>
    <row r="17" spans="3:9" ht="24.75" x14ac:dyDescent="0.6">
      <c r="C17" s="112"/>
      <c r="D17" s="18"/>
      <c r="E17" s="18"/>
      <c r="F17" s="18"/>
      <c r="G17" s="112"/>
      <c r="H17" s="18"/>
      <c r="I17" s="18"/>
    </row>
    <row r="18" spans="3:9" x14ac:dyDescent="0.4">
      <c r="C18" s="39"/>
      <c r="G18" s="39"/>
    </row>
  </sheetData>
  <sortState xmlns:xlrd2="http://schemas.microsoft.com/office/spreadsheetml/2017/richdata2" ref="A10:I12">
    <sortCondition descending="1" ref="G10:G12"/>
  </sortState>
  <mergeCells count="10">
    <mergeCell ref="A1:I1"/>
    <mergeCell ref="A2:I2"/>
    <mergeCell ref="A3:I3"/>
    <mergeCell ref="E8:E9"/>
    <mergeCell ref="I8:I9"/>
    <mergeCell ref="A8:A9"/>
    <mergeCell ref="C6:I6"/>
    <mergeCell ref="A5:I5"/>
    <mergeCell ref="C7:E7"/>
    <mergeCell ref="G7:I7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5"/>
  <sheetViews>
    <sheetView rightToLeft="1" view="pageBreakPreview" zoomScale="90" zoomScaleNormal="100" zoomScaleSheetLayoutView="90" workbookViewId="0">
      <selection activeCell="E12" sqref="E12:E15"/>
    </sheetView>
  </sheetViews>
  <sheetFormatPr defaultColWidth="9.140625" defaultRowHeight="15.75" x14ac:dyDescent="0.4"/>
  <cols>
    <col min="1" max="1" width="49.140625" style="17" bestFit="1" customWidth="1"/>
    <col min="2" max="2" width="1.42578125" style="17" customWidth="1"/>
    <col min="3" max="3" width="49.42578125" style="17" customWidth="1"/>
    <col min="4" max="4" width="1.42578125" style="17" customWidth="1"/>
    <col min="5" max="5" width="49.42578125" style="17" bestFit="1" customWidth="1"/>
    <col min="6" max="6" width="1.42578125" style="17" customWidth="1"/>
    <col min="7" max="16384" width="9.140625" style="17"/>
  </cols>
  <sheetData>
    <row r="1" spans="1:5" ht="39" customHeight="1" x14ac:dyDescent="0.4">
      <c r="A1" s="193" t="s">
        <v>0</v>
      </c>
      <c r="B1" s="193"/>
      <c r="C1" s="193"/>
      <c r="D1" s="193"/>
      <c r="E1" s="193"/>
    </row>
    <row r="2" spans="1:5" ht="39" customHeight="1" x14ac:dyDescent="0.4">
      <c r="A2" s="193" t="s">
        <v>58</v>
      </c>
      <c r="B2" s="193"/>
      <c r="C2" s="193"/>
      <c r="D2" s="193"/>
      <c r="E2" s="193"/>
    </row>
    <row r="3" spans="1:5" ht="39" customHeight="1" x14ac:dyDescent="0.4">
      <c r="A3" s="193" t="str">
        <f>درآمد!A3</f>
        <v>دوره یک ماهه منتهی به 30 مهر 1405</v>
      </c>
      <c r="B3" s="193"/>
      <c r="C3" s="193"/>
      <c r="D3" s="193"/>
      <c r="E3" s="193"/>
    </row>
    <row r="4" spans="1:5" ht="39" customHeight="1" x14ac:dyDescent="0.4"/>
    <row r="5" spans="1:5" ht="39" customHeight="1" x14ac:dyDescent="0.4">
      <c r="A5" s="192" t="s">
        <v>125</v>
      </c>
      <c r="B5" s="192"/>
      <c r="C5" s="192"/>
      <c r="D5" s="192"/>
      <c r="E5" s="192"/>
    </row>
    <row r="6" spans="1:5" ht="39" customHeight="1" x14ac:dyDescent="0.4">
      <c r="A6" s="1"/>
      <c r="B6" s="1"/>
      <c r="C6" s="211" t="s">
        <v>102</v>
      </c>
      <c r="D6" s="211"/>
      <c r="E6" s="211"/>
    </row>
    <row r="7" spans="1:5" ht="39" customHeight="1" thickBot="1" x14ac:dyDescent="0.45">
      <c r="A7" s="41" t="s">
        <v>70</v>
      </c>
      <c r="B7" s="55"/>
      <c r="C7" s="38" t="str">
        <f>'درآمد سرمایه گذاری در سهام'!C7</f>
        <v>طی مهر ماه</v>
      </c>
      <c r="D7" s="55"/>
      <c r="E7" s="38" t="str">
        <f>'درآمد سرمایه گذاری در سهام'!M7</f>
        <v>از ابتدای سال مالی تا پایان مهر ماه</v>
      </c>
    </row>
    <row r="8" spans="1:5" ht="39" customHeight="1" x14ac:dyDescent="0.4">
      <c r="A8" s="34" t="s">
        <v>122</v>
      </c>
      <c r="B8" s="7"/>
      <c r="C8" s="162">
        <v>0</v>
      </c>
      <c r="D8" s="34"/>
      <c r="E8" s="162">
        <v>67720861981</v>
      </c>
    </row>
    <row r="9" spans="1:5" ht="39" customHeight="1" thickBot="1" x14ac:dyDescent="0.45">
      <c r="A9" s="34" t="s">
        <v>182</v>
      </c>
      <c r="B9" s="7"/>
      <c r="C9" s="159">
        <v>0</v>
      </c>
      <c r="D9" s="34"/>
      <c r="E9" s="159">
        <v>6601071547</v>
      </c>
    </row>
    <row r="10" spans="1:5" ht="39" customHeight="1" thickBot="1" x14ac:dyDescent="0.45">
      <c r="A10" s="9"/>
      <c r="C10" s="163">
        <f>SUM(C8:C9)</f>
        <v>0</v>
      </c>
      <c r="D10" s="48"/>
      <c r="E10" s="163">
        <f>SUM(E8:E9)</f>
        <v>74321933528</v>
      </c>
    </row>
    <row r="11" spans="1:5" ht="88.5" customHeight="1" thickTop="1" x14ac:dyDescent="0.4"/>
    <row r="12" spans="1:5" x14ac:dyDescent="0.4">
      <c r="E12" s="39"/>
    </row>
    <row r="13" spans="1:5" x14ac:dyDescent="0.4">
      <c r="E13" s="39"/>
    </row>
    <row r="14" spans="1:5" x14ac:dyDescent="0.4">
      <c r="E14" s="39"/>
    </row>
    <row r="15" spans="1:5" x14ac:dyDescent="0.4">
      <c r="E15" s="39"/>
    </row>
  </sheetData>
  <mergeCells count="5">
    <mergeCell ref="A1:E1"/>
    <mergeCell ref="A2:E2"/>
    <mergeCell ref="A3:E3"/>
    <mergeCell ref="C6:E6"/>
    <mergeCell ref="A5:E5"/>
  </mergeCells>
  <pageMargins left="0.39" right="0.39" top="0.39" bottom="0.39" header="0" footer="0"/>
  <pageSetup scale="8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view="pageBreakPreview" zoomScale="70" zoomScaleNormal="100" zoomScaleSheetLayoutView="70" workbookViewId="0">
      <selection activeCell="U32" sqref="U32"/>
    </sheetView>
  </sheetViews>
  <sheetFormatPr defaultColWidth="9.140625" defaultRowHeight="15.75" x14ac:dyDescent="0.4"/>
  <cols>
    <col min="1" max="1" width="34" style="17" bestFit="1" customWidth="1"/>
    <col min="2" max="2" width="1.42578125" style="17" customWidth="1"/>
    <col min="3" max="3" width="41.28515625" style="17" bestFit="1" customWidth="1"/>
    <col min="4" max="4" width="1.42578125" style="17" customWidth="1"/>
    <col min="5" max="5" width="14.140625" style="17" customWidth="1"/>
    <col min="6" max="6" width="1.42578125" style="17" customWidth="1"/>
    <col min="7" max="7" width="13.42578125" style="17" customWidth="1"/>
    <col min="8" max="8" width="1.42578125" style="17" customWidth="1"/>
    <col min="9" max="9" width="24.42578125" style="17" bestFit="1" customWidth="1"/>
    <col min="10" max="10" width="1.42578125" style="17" customWidth="1"/>
    <col min="11" max="11" width="43.28515625" style="17" customWidth="1"/>
    <col min="12" max="12" width="1.42578125" style="17" customWidth="1"/>
    <col min="13" max="13" width="15.85546875" style="17" customWidth="1"/>
    <col min="14" max="14" width="1.42578125" style="17" customWidth="1"/>
    <col min="15" max="15" width="15.7109375" style="17" customWidth="1"/>
    <col min="16" max="16" width="1.42578125" style="17" customWidth="1"/>
    <col min="17" max="17" width="40.140625" style="17" customWidth="1"/>
    <col min="18" max="18" width="1.42578125" style="17" customWidth="1"/>
    <col min="19" max="16384" width="9.140625" style="17"/>
  </cols>
  <sheetData>
    <row r="1" spans="1:17" ht="33.75" x14ac:dyDescent="0.4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17" ht="33.75" x14ac:dyDescent="0.4">
      <c r="A2" s="193" t="s">
        <v>58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</row>
    <row r="3" spans="1:17" ht="33.75" x14ac:dyDescent="0.4">
      <c r="A3" s="193" t="str">
        <f>درآمد!A3</f>
        <v>دوره یک ماهه منتهی به 30 مهر 1405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</row>
    <row r="5" spans="1:17" ht="33.75" x14ac:dyDescent="0.4">
      <c r="A5" s="192" t="s">
        <v>126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</row>
    <row r="6" spans="1:17" ht="30" x14ac:dyDescent="0.4">
      <c r="A6" s="216" t="s">
        <v>102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</row>
    <row r="7" spans="1:17" ht="26.25" x14ac:dyDescent="0.6">
      <c r="A7" s="214" t="s">
        <v>74</v>
      </c>
      <c r="B7" s="18"/>
      <c r="C7" s="214" t="s">
        <v>75</v>
      </c>
      <c r="D7" s="18"/>
      <c r="E7" s="214" t="s">
        <v>123</v>
      </c>
      <c r="F7" s="18"/>
      <c r="G7" s="214" t="s">
        <v>33</v>
      </c>
      <c r="H7" s="18"/>
      <c r="I7" s="214" t="s">
        <v>76</v>
      </c>
      <c r="J7" s="18"/>
      <c r="K7" s="212" t="s">
        <v>72</v>
      </c>
      <c r="L7" s="18"/>
      <c r="M7" s="214" t="s">
        <v>77</v>
      </c>
      <c r="N7" s="18"/>
      <c r="O7" s="7" t="s">
        <v>77</v>
      </c>
      <c r="P7" s="18"/>
      <c r="Q7" s="212" t="s">
        <v>73</v>
      </c>
    </row>
    <row r="8" spans="1:17" ht="27" thickBot="1" x14ac:dyDescent="0.65">
      <c r="A8" s="215"/>
      <c r="B8" s="18"/>
      <c r="C8" s="215"/>
      <c r="D8" s="18"/>
      <c r="E8" s="215"/>
      <c r="F8" s="18"/>
      <c r="G8" s="215"/>
      <c r="H8" s="18"/>
      <c r="I8" s="215"/>
      <c r="J8" s="18"/>
      <c r="K8" s="213"/>
      <c r="L8" s="18"/>
      <c r="M8" s="215"/>
      <c r="N8" s="18"/>
      <c r="O8" s="8" t="s">
        <v>124</v>
      </c>
      <c r="P8" s="18"/>
      <c r="Q8" s="213"/>
    </row>
    <row r="9" spans="1:17" ht="24.75" x14ac:dyDescent="0.6">
      <c r="A9" s="34" t="s">
        <v>13</v>
      </c>
      <c r="B9" s="54"/>
      <c r="C9" s="34" t="s">
        <v>127</v>
      </c>
      <c r="D9" s="18"/>
      <c r="E9" s="25" t="s">
        <v>128</v>
      </c>
      <c r="F9" s="18"/>
      <c r="G9" s="37">
        <v>470300</v>
      </c>
      <c r="H9" s="37"/>
      <c r="I9" s="37">
        <f>G9*M9</f>
        <v>470300000000</v>
      </c>
      <c r="J9" s="164"/>
      <c r="K9" s="158">
        <v>8983283463</v>
      </c>
      <c r="L9" s="164"/>
      <c r="M9" s="37">
        <v>1000000</v>
      </c>
      <c r="N9" s="34"/>
      <c r="O9" s="37">
        <v>18</v>
      </c>
      <c r="P9" s="34"/>
      <c r="Q9" s="34">
        <v>23.5</v>
      </c>
    </row>
    <row r="10" spans="1:17" ht="24.75" x14ac:dyDescent="0.6">
      <c r="A10" s="34" t="s">
        <v>137</v>
      </c>
      <c r="B10" s="54"/>
      <c r="C10" s="34" t="s">
        <v>127</v>
      </c>
      <c r="D10" s="18"/>
      <c r="E10" s="25" t="s">
        <v>128</v>
      </c>
      <c r="F10" s="18"/>
      <c r="G10" s="37">
        <v>0</v>
      </c>
      <c r="H10" s="37"/>
      <c r="I10" s="37">
        <f t="shared" ref="I10:I17" si="0">G10*M10</f>
        <v>0</v>
      </c>
      <c r="J10" s="164"/>
      <c r="K10" s="158">
        <v>4078311900</v>
      </c>
      <c r="L10" s="164"/>
      <c r="M10" s="37">
        <v>1000000</v>
      </c>
      <c r="N10" s="164"/>
      <c r="O10" s="37">
        <v>18</v>
      </c>
      <c r="P10" s="164"/>
      <c r="Q10" s="34">
        <v>23.5</v>
      </c>
    </row>
    <row r="11" spans="1:17" ht="24.75" x14ac:dyDescent="0.6">
      <c r="A11" s="34" t="s">
        <v>176</v>
      </c>
      <c r="B11" s="54"/>
      <c r="C11" s="34" t="s">
        <v>127</v>
      </c>
      <c r="D11" s="18"/>
      <c r="E11" s="25" t="s">
        <v>128</v>
      </c>
      <c r="F11" s="18"/>
      <c r="G11" s="37">
        <v>138700</v>
      </c>
      <c r="H11" s="37"/>
      <c r="I11" s="37">
        <f t="shared" si="0"/>
        <v>138700000000</v>
      </c>
      <c r="J11" s="164"/>
      <c r="K11" s="158">
        <v>7114781895</v>
      </c>
      <c r="L11" s="164"/>
      <c r="M11" s="37">
        <v>1000000</v>
      </c>
      <c r="N11" s="164"/>
      <c r="O11" s="37">
        <v>18</v>
      </c>
      <c r="P11" s="164"/>
      <c r="Q11" s="34">
        <v>23.5</v>
      </c>
    </row>
    <row r="12" spans="1:17" ht="24.75" x14ac:dyDescent="0.6">
      <c r="A12" s="34" t="s">
        <v>28</v>
      </c>
      <c r="B12" s="54"/>
      <c r="C12" s="34" t="s">
        <v>127</v>
      </c>
      <c r="D12" s="18"/>
      <c r="E12" s="25" t="s">
        <v>128</v>
      </c>
      <c r="F12" s="18"/>
      <c r="G12" s="37">
        <v>100000</v>
      </c>
      <c r="H12" s="37"/>
      <c r="I12" s="37">
        <f t="shared" si="0"/>
        <v>100000000000</v>
      </c>
      <c r="J12" s="164"/>
      <c r="K12" s="158">
        <v>1886943778</v>
      </c>
      <c r="L12" s="164"/>
      <c r="M12" s="37">
        <v>1000000</v>
      </c>
      <c r="N12" s="164"/>
      <c r="O12" s="37">
        <v>18</v>
      </c>
      <c r="P12" s="164"/>
      <c r="Q12" s="34">
        <v>23.5</v>
      </c>
    </row>
    <row r="13" spans="1:17" ht="24.75" x14ac:dyDescent="0.6">
      <c r="A13" s="34" t="s">
        <v>14</v>
      </c>
      <c r="B13" s="54"/>
      <c r="C13" s="34" t="s">
        <v>127</v>
      </c>
      <c r="D13" s="18"/>
      <c r="E13" s="25" t="s">
        <v>128</v>
      </c>
      <c r="F13" s="18"/>
      <c r="G13" s="37">
        <v>185000</v>
      </c>
      <c r="H13" s="37"/>
      <c r="I13" s="37">
        <f t="shared" si="0"/>
        <v>185000000000</v>
      </c>
      <c r="J13" s="164"/>
      <c r="K13" s="158">
        <v>2296345724</v>
      </c>
      <c r="L13" s="164"/>
      <c r="M13" s="37">
        <v>1000000</v>
      </c>
      <c r="N13" s="34"/>
      <c r="O13" s="37">
        <v>18</v>
      </c>
      <c r="P13" s="34"/>
      <c r="Q13" s="34">
        <v>23.5</v>
      </c>
    </row>
    <row r="14" spans="1:17" ht="24.75" x14ac:dyDescent="0.6">
      <c r="A14" s="34" t="s">
        <v>12</v>
      </c>
      <c r="B14" s="54"/>
      <c r="C14" s="34" t="s">
        <v>127</v>
      </c>
      <c r="D14" s="25"/>
      <c r="E14" s="25" t="s">
        <v>128</v>
      </c>
      <c r="F14" s="25"/>
      <c r="G14" s="37">
        <v>0</v>
      </c>
      <c r="H14" s="37"/>
      <c r="I14" s="37">
        <f t="shared" si="0"/>
        <v>0</v>
      </c>
      <c r="J14" s="164"/>
      <c r="K14" s="37">
        <v>701638750</v>
      </c>
      <c r="L14" s="164"/>
      <c r="M14" s="37">
        <v>1000000</v>
      </c>
      <c r="N14" s="34"/>
      <c r="O14" s="37">
        <v>18</v>
      </c>
      <c r="P14" s="34"/>
      <c r="Q14" s="34">
        <v>23.5</v>
      </c>
    </row>
    <row r="15" spans="1:17" ht="24.75" x14ac:dyDescent="0.6">
      <c r="A15" s="34" t="s">
        <v>181</v>
      </c>
      <c r="B15" s="54"/>
      <c r="C15" s="34" t="s">
        <v>127</v>
      </c>
      <c r="D15" s="18"/>
      <c r="E15" s="25" t="s">
        <v>128</v>
      </c>
      <c r="F15" s="18"/>
      <c r="G15" s="37">
        <v>0</v>
      </c>
      <c r="H15" s="37"/>
      <c r="I15" s="37">
        <f t="shared" si="0"/>
        <v>0</v>
      </c>
      <c r="J15" s="164"/>
      <c r="K15" s="158">
        <v>874964682</v>
      </c>
      <c r="L15" s="164"/>
      <c r="M15" s="37">
        <v>1000000</v>
      </c>
      <c r="N15" s="164"/>
      <c r="O15" s="37">
        <v>18</v>
      </c>
      <c r="P15" s="164"/>
      <c r="Q15" s="34">
        <v>23.5</v>
      </c>
    </row>
    <row r="16" spans="1:17" ht="24.75" x14ac:dyDescent="0.6">
      <c r="A16" s="37" t="s">
        <v>22</v>
      </c>
      <c r="B16" s="54"/>
      <c r="C16" s="34" t="s">
        <v>127</v>
      </c>
      <c r="D16" s="18"/>
      <c r="E16" s="25" t="s">
        <v>128</v>
      </c>
      <c r="F16" s="18"/>
      <c r="G16" s="37">
        <v>0</v>
      </c>
      <c r="H16" s="37"/>
      <c r="I16" s="37">
        <f t="shared" si="0"/>
        <v>0</v>
      </c>
      <c r="J16" s="164"/>
      <c r="K16" s="158">
        <v>14239426</v>
      </c>
      <c r="L16" s="164"/>
      <c r="M16" s="37">
        <v>1000000</v>
      </c>
      <c r="N16" s="164"/>
      <c r="O16" s="37">
        <v>18</v>
      </c>
      <c r="P16" s="164"/>
      <c r="Q16" s="34">
        <v>23.5</v>
      </c>
    </row>
    <row r="17" spans="1:17" ht="24.75" x14ac:dyDescent="0.6">
      <c r="A17" s="37" t="s">
        <v>150</v>
      </c>
      <c r="B17" s="54"/>
      <c r="C17" s="34" t="s">
        <v>127</v>
      </c>
      <c r="D17" s="18"/>
      <c r="E17" s="25" t="s">
        <v>128</v>
      </c>
      <c r="F17" s="18"/>
      <c r="G17" s="37">
        <v>0</v>
      </c>
      <c r="H17" s="37"/>
      <c r="I17" s="37">
        <f t="shared" si="0"/>
        <v>0</v>
      </c>
      <c r="J17" s="164"/>
      <c r="K17" s="158">
        <v>28481822</v>
      </c>
      <c r="L17" s="164"/>
      <c r="M17" s="37">
        <v>1000000</v>
      </c>
      <c r="N17" s="164"/>
      <c r="O17" s="37">
        <v>18</v>
      </c>
      <c r="P17" s="164"/>
      <c r="Q17" s="34">
        <v>23.5</v>
      </c>
    </row>
    <row r="20" spans="1:17" ht="24.75" x14ac:dyDescent="0.4">
      <c r="K20" s="43"/>
    </row>
  </sheetData>
  <sortState xmlns:xlrd2="http://schemas.microsoft.com/office/spreadsheetml/2017/richdata2" ref="A9:Q17">
    <sortCondition descending="1" ref="M9:M17"/>
  </sortState>
  <mergeCells count="13">
    <mergeCell ref="K7:K8"/>
    <mergeCell ref="M7:M8"/>
    <mergeCell ref="Q7:Q8"/>
    <mergeCell ref="A1:Q1"/>
    <mergeCell ref="A2:Q2"/>
    <mergeCell ref="A3:Q3"/>
    <mergeCell ref="A5:Q5"/>
    <mergeCell ref="A6:Q6"/>
    <mergeCell ref="A7:A8"/>
    <mergeCell ref="C7:C8"/>
    <mergeCell ref="E7:E8"/>
    <mergeCell ref="G7:G8"/>
    <mergeCell ref="I7:I8"/>
  </mergeCells>
  <pageMargins left="0.39" right="0.39" top="0.39" bottom="0.39" header="0" footer="0"/>
  <pageSetup paperSize="9" scale="5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20"/>
  <sheetViews>
    <sheetView rightToLeft="1" view="pageBreakPreview" topLeftCell="A4" zoomScale="70" zoomScaleNormal="100" zoomScaleSheetLayoutView="70" workbookViewId="0">
      <selection activeCell="R33" sqref="R33"/>
    </sheetView>
  </sheetViews>
  <sheetFormatPr defaultColWidth="9.140625" defaultRowHeight="15.75" x14ac:dyDescent="0.4"/>
  <cols>
    <col min="1" max="1" width="39" style="19" customWidth="1"/>
    <col min="2" max="2" width="1.42578125" style="19" customWidth="1"/>
    <col min="3" max="3" width="29.5703125" style="68" customWidth="1"/>
    <col min="4" max="4" width="1.42578125" style="68" customWidth="1"/>
    <col min="5" max="5" width="27.5703125" style="68" customWidth="1"/>
    <col min="6" max="6" width="1.42578125" style="68" customWidth="1"/>
    <col min="7" max="7" width="30.5703125" style="68" bestFit="1" customWidth="1"/>
    <col min="8" max="8" width="1.42578125" style="68" customWidth="1"/>
    <col min="9" max="9" width="28.140625" style="68" customWidth="1"/>
    <col min="10" max="10" width="1.42578125" style="68" customWidth="1"/>
    <col min="11" max="11" width="27.7109375" style="68" customWidth="1"/>
    <col min="12" max="12" width="1.42578125" style="68" customWidth="1"/>
    <col min="13" max="13" width="30" style="68" customWidth="1"/>
    <col min="14" max="14" width="1.42578125" style="19" customWidth="1"/>
    <col min="15" max="15" width="22.7109375" style="19" bestFit="1" customWidth="1"/>
    <col min="16" max="16384" width="9.140625" style="19"/>
  </cols>
  <sheetData>
    <row r="1" spans="1:13" ht="40.5" customHeight="1" x14ac:dyDescent="0.4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40.5" customHeight="1" x14ac:dyDescent="0.4">
      <c r="A2" s="208" t="s">
        <v>58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</row>
    <row r="3" spans="1:13" ht="40.5" customHeight="1" x14ac:dyDescent="0.4">
      <c r="A3" s="208" t="str">
        <f>درآمد!A3</f>
        <v>دوره یک ماهه منتهی به 30 مهر 1405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</row>
    <row r="4" spans="1:13" ht="40.5" customHeight="1" x14ac:dyDescent="0.4"/>
    <row r="5" spans="1:13" ht="40.5" customHeight="1" x14ac:dyDescent="0.4">
      <c r="A5" s="207" t="s">
        <v>129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ht="40.5" customHeight="1" x14ac:dyDescent="0.4">
      <c r="A6" s="32"/>
      <c r="B6" s="32"/>
      <c r="C6" s="218" t="s">
        <v>102</v>
      </c>
      <c r="D6" s="218"/>
      <c r="E6" s="218"/>
      <c r="F6" s="218"/>
      <c r="G6" s="218"/>
      <c r="H6" s="218"/>
      <c r="I6" s="218"/>
      <c r="J6" s="218"/>
      <c r="K6" s="218"/>
      <c r="L6" s="218"/>
      <c r="M6" s="218"/>
    </row>
    <row r="7" spans="1:13" ht="40.5" customHeight="1" thickBot="1" x14ac:dyDescent="0.7">
      <c r="A7" s="217" t="s">
        <v>30</v>
      </c>
      <c r="B7" s="27"/>
      <c r="C7" s="195" t="str">
        <f>'درآمد سرمایه گذاری در سهام'!C7</f>
        <v>طی مهر ماه</v>
      </c>
      <c r="D7" s="195"/>
      <c r="E7" s="195"/>
      <c r="F7" s="195"/>
      <c r="G7" s="195"/>
      <c r="H7" s="77"/>
      <c r="I7" s="195" t="str">
        <f>'درآمد سرمایه گذاری در سهام'!M7</f>
        <v>از ابتدای سال مالی تا پایان مهر ماه</v>
      </c>
      <c r="J7" s="195"/>
      <c r="K7" s="195"/>
      <c r="L7" s="195"/>
      <c r="M7" s="195"/>
    </row>
    <row r="8" spans="1:13" ht="40.5" customHeight="1" thickBot="1" x14ac:dyDescent="0.7">
      <c r="A8" s="198"/>
      <c r="B8" s="27"/>
      <c r="C8" s="97" t="s">
        <v>81</v>
      </c>
      <c r="D8" s="77"/>
      <c r="E8" s="97" t="s">
        <v>82</v>
      </c>
      <c r="F8" s="77"/>
      <c r="G8" s="97" t="s">
        <v>83</v>
      </c>
      <c r="H8" s="77"/>
      <c r="I8" s="97" t="s">
        <v>81</v>
      </c>
      <c r="J8" s="77"/>
      <c r="K8" s="97" t="s">
        <v>82</v>
      </c>
      <c r="L8" s="77"/>
      <c r="M8" s="97" t="s">
        <v>83</v>
      </c>
    </row>
    <row r="9" spans="1:13" ht="40.5" customHeight="1" x14ac:dyDescent="0.6">
      <c r="A9" s="37" t="s">
        <v>25</v>
      </c>
      <c r="B9" s="21"/>
      <c r="C9" s="165">
        <v>0</v>
      </c>
      <c r="D9" s="155"/>
      <c r="E9" s="165">
        <v>0</v>
      </c>
      <c r="F9" s="155"/>
      <c r="G9" s="165">
        <v>0</v>
      </c>
      <c r="H9" s="155"/>
      <c r="I9" s="37">
        <v>128110500000</v>
      </c>
      <c r="J9" s="155"/>
      <c r="K9" s="165">
        <v>0</v>
      </c>
      <c r="L9" s="155"/>
      <c r="M9" s="37">
        <f>I9+K9</f>
        <v>128110500000</v>
      </c>
    </row>
    <row r="10" spans="1:13" ht="40.5" customHeight="1" x14ac:dyDescent="0.6">
      <c r="A10" s="37" t="s">
        <v>19</v>
      </c>
      <c r="B10" s="21"/>
      <c r="C10" s="37">
        <v>0</v>
      </c>
      <c r="D10" s="155"/>
      <c r="E10" s="37">
        <v>0</v>
      </c>
      <c r="F10" s="155"/>
      <c r="G10" s="37">
        <v>0</v>
      </c>
      <c r="H10" s="155"/>
      <c r="I10" s="37">
        <v>2150282120</v>
      </c>
      <c r="J10" s="155"/>
      <c r="K10" s="37">
        <v>0</v>
      </c>
      <c r="L10" s="155"/>
      <c r="M10" s="37">
        <f t="shared" ref="M10:M15" si="0">I10+K10</f>
        <v>2150282120</v>
      </c>
    </row>
    <row r="11" spans="1:13" ht="40.5" customHeight="1" x14ac:dyDescent="0.6">
      <c r="A11" s="37" t="s">
        <v>28</v>
      </c>
      <c r="B11" s="21"/>
      <c r="C11" s="37">
        <v>0</v>
      </c>
      <c r="D11" s="155"/>
      <c r="E11" s="37">
        <v>0</v>
      </c>
      <c r="F11" s="155"/>
      <c r="G11" s="37">
        <v>0</v>
      </c>
      <c r="H11" s="155"/>
      <c r="I11" s="37">
        <v>51959289260</v>
      </c>
      <c r="J11" s="155"/>
      <c r="K11" s="37">
        <v>0</v>
      </c>
      <c r="L11" s="155"/>
      <c r="M11" s="37">
        <f t="shared" si="0"/>
        <v>51959289260</v>
      </c>
    </row>
    <row r="12" spans="1:13" ht="40.5" customHeight="1" x14ac:dyDescent="0.6">
      <c r="A12" s="37" t="s">
        <v>17</v>
      </c>
      <c r="B12" s="21"/>
      <c r="C12" s="37">
        <v>0</v>
      </c>
      <c r="D12" s="155"/>
      <c r="E12" s="37">
        <v>0</v>
      </c>
      <c r="F12" s="155"/>
      <c r="G12" s="37">
        <v>0</v>
      </c>
      <c r="H12" s="155"/>
      <c r="I12" s="37">
        <v>182024576514</v>
      </c>
      <c r="J12" s="155"/>
      <c r="K12" s="37">
        <v>-1483896004</v>
      </c>
      <c r="L12" s="155"/>
      <c r="M12" s="37">
        <f t="shared" si="0"/>
        <v>180540680510</v>
      </c>
    </row>
    <row r="13" spans="1:13" ht="40.5" customHeight="1" x14ac:dyDescent="0.6">
      <c r="A13" s="37" t="s">
        <v>13</v>
      </c>
      <c r="B13" s="21"/>
      <c r="C13" s="37">
        <v>0</v>
      </c>
      <c r="D13" s="155"/>
      <c r="E13" s="37">
        <v>0</v>
      </c>
      <c r="F13" s="155"/>
      <c r="G13" s="37">
        <v>0</v>
      </c>
      <c r="H13" s="155"/>
      <c r="I13" s="37">
        <v>192751796720</v>
      </c>
      <c r="J13" s="155"/>
      <c r="K13" s="37">
        <v>0</v>
      </c>
      <c r="L13" s="155"/>
      <c r="M13" s="37">
        <f t="shared" si="0"/>
        <v>192751796720</v>
      </c>
    </row>
    <row r="14" spans="1:13" ht="40.5" customHeight="1" x14ac:dyDescent="0.6">
      <c r="A14" s="37" t="s">
        <v>24</v>
      </c>
      <c r="B14" s="21"/>
      <c r="C14" s="37">
        <v>0</v>
      </c>
      <c r="D14" s="155"/>
      <c r="E14" s="37">
        <v>0</v>
      </c>
      <c r="F14" s="155"/>
      <c r="G14" s="37">
        <v>0</v>
      </c>
      <c r="H14" s="155"/>
      <c r="I14" s="37">
        <v>144493495335</v>
      </c>
      <c r="J14" s="155"/>
      <c r="K14" s="37">
        <v>0</v>
      </c>
      <c r="L14" s="155"/>
      <c r="M14" s="37">
        <f t="shared" si="0"/>
        <v>144493495335</v>
      </c>
    </row>
    <row r="15" spans="1:13" ht="40.5" customHeight="1" thickBot="1" x14ac:dyDescent="0.65">
      <c r="A15" s="37" t="s">
        <v>27</v>
      </c>
      <c r="B15" s="21"/>
      <c r="C15" s="150">
        <v>0</v>
      </c>
      <c r="D15" s="155"/>
      <c r="E15" s="150">
        <v>0</v>
      </c>
      <c r="F15" s="155"/>
      <c r="G15" s="150">
        <v>0</v>
      </c>
      <c r="H15" s="155"/>
      <c r="I15" s="150">
        <v>518726285538</v>
      </c>
      <c r="J15" s="155"/>
      <c r="K15" s="150">
        <v>0</v>
      </c>
      <c r="L15" s="155"/>
      <c r="M15" s="150">
        <f t="shared" si="0"/>
        <v>518726285538</v>
      </c>
    </row>
    <row r="16" spans="1:13" ht="40.5" customHeight="1" thickBot="1" x14ac:dyDescent="0.65">
      <c r="A16" s="53"/>
      <c r="B16" s="21"/>
      <c r="C16" s="151">
        <f>SUM(C9:C15)</f>
        <v>0</v>
      </c>
      <c r="D16" s="53"/>
      <c r="E16" s="151">
        <f>SUM(E9:E15)</f>
        <v>0</v>
      </c>
      <c r="F16" s="53"/>
      <c r="G16" s="151">
        <f>SUM(G9:G15)</f>
        <v>0</v>
      </c>
      <c r="H16" s="53"/>
      <c r="I16" s="151">
        <f>SUM(I9:I15)</f>
        <v>1220216225487</v>
      </c>
      <c r="J16" s="53"/>
      <c r="K16" s="151">
        <f>SUM(K9:K15)</f>
        <v>-1483896004</v>
      </c>
      <c r="L16" s="53"/>
      <c r="M16" s="151">
        <f>SUM(M9:M15)</f>
        <v>1218732329483</v>
      </c>
    </row>
    <row r="17" spans="3:13" ht="16.5" thickTop="1" x14ac:dyDescent="0.4"/>
    <row r="18" spans="3:13" ht="24.75" hidden="1" x14ac:dyDescent="0.4">
      <c r="C18" s="65" t="e">
        <f>'درآمد سرمایه گذاری در سهام'!#REF!</f>
        <v>#REF!</v>
      </c>
      <c r="D18" s="65"/>
      <c r="E18" s="65">
        <v>0</v>
      </c>
      <c r="F18" s="65"/>
      <c r="G18" s="65" t="e">
        <f>C18+E18</f>
        <v>#REF!</v>
      </c>
      <c r="H18" s="65"/>
      <c r="I18" s="65" t="e">
        <f>'درآمد سرمایه گذاری در سهام'!#REF!</f>
        <v>#REF!</v>
      </c>
      <c r="J18" s="65"/>
      <c r="K18" s="65">
        <v>-13515731561</v>
      </c>
      <c r="L18" s="65"/>
      <c r="M18" s="65" t="e">
        <f>I18+K18</f>
        <v>#REF!</v>
      </c>
    </row>
    <row r="19" spans="3:13" ht="24.75" hidden="1" x14ac:dyDescent="0.4">
      <c r="C19" s="65" t="e">
        <f>C18-C16</f>
        <v>#REF!</v>
      </c>
      <c r="D19" s="65"/>
      <c r="E19" s="65">
        <f>E18-E16</f>
        <v>0</v>
      </c>
      <c r="F19" s="65"/>
      <c r="G19" s="65" t="e">
        <f>G18-G16</f>
        <v>#REF!</v>
      </c>
      <c r="H19" s="65"/>
      <c r="I19" s="65" t="e">
        <f>I18-I16</f>
        <v>#REF!</v>
      </c>
      <c r="J19" s="65"/>
      <c r="K19" s="65">
        <f>K18-K16</f>
        <v>-12031835557</v>
      </c>
      <c r="L19" s="65"/>
      <c r="M19" s="65" t="e">
        <f>M18-M16</f>
        <v>#REF!</v>
      </c>
    </row>
    <row r="20" spans="3:13" x14ac:dyDescent="0.4">
      <c r="I20" s="68">
        <f>I16-'درآمد سرمایه گذاری در سهام'!M37</f>
        <v>0</v>
      </c>
    </row>
  </sheetData>
  <sortState xmlns:xlrd2="http://schemas.microsoft.com/office/spreadsheetml/2017/richdata2" ref="A9:M15">
    <sortCondition descending="1" ref="M9:M15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5"/>
  <sheetViews>
    <sheetView rightToLeft="1" view="pageBreakPreview" zoomScale="70" zoomScaleNormal="100" zoomScaleSheetLayoutView="70" workbookViewId="0">
      <selection activeCell="U32" sqref="U32"/>
    </sheetView>
  </sheetViews>
  <sheetFormatPr defaultColWidth="9.140625" defaultRowHeight="15.75" x14ac:dyDescent="0.4"/>
  <cols>
    <col min="1" max="1" width="42.28515625" style="19" bestFit="1" customWidth="1"/>
    <col min="2" max="2" width="1.42578125" style="19" customWidth="1"/>
    <col min="3" max="3" width="21.5703125" style="19" customWidth="1"/>
    <col min="4" max="4" width="1.42578125" style="19" customWidth="1"/>
    <col min="5" max="5" width="32.7109375" style="19" bestFit="1" customWidth="1"/>
    <col min="6" max="6" width="1.42578125" style="19" customWidth="1"/>
    <col min="7" max="7" width="19.28515625" style="19" customWidth="1"/>
    <col min="8" max="8" width="1.42578125" style="19" customWidth="1"/>
    <col min="9" max="9" width="47.7109375" style="19" customWidth="1"/>
    <col min="10" max="10" width="1.42578125" style="19" customWidth="1"/>
    <col min="11" max="11" width="46.85546875" style="19" bestFit="1" customWidth="1"/>
    <col min="12" max="12" width="1.42578125" style="19" customWidth="1"/>
    <col min="13" max="16384" width="9.140625" style="19"/>
  </cols>
  <sheetData>
    <row r="1" spans="1:11" ht="39.75" customHeight="1" x14ac:dyDescent="0.4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9.75" customHeight="1" x14ac:dyDescent="0.4">
      <c r="A2" s="208" t="s">
        <v>58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</row>
    <row r="3" spans="1:11" ht="39.75" customHeight="1" x14ac:dyDescent="0.4">
      <c r="A3" s="208" t="str">
        <f>درآمد!A3</f>
        <v>دوره یک ماهه منتهی به 30 مهر 1405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</row>
    <row r="4" spans="1:11" ht="39.75" customHeight="1" x14ac:dyDescent="0.4"/>
    <row r="5" spans="1:11" ht="39.75" customHeight="1" x14ac:dyDescent="0.4">
      <c r="A5" s="207" t="s">
        <v>130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</row>
    <row r="6" spans="1:11" ht="39.75" customHeight="1" x14ac:dyDescent="0.4">
      <c r="A6" s="26"/>
      <c r="B6" s="26"/>
      <c r="C6" s="26"/>
      <c r="D6" s="26"/>
      <c r="E6" s="26"/>
      <c r="F6" s="26"/>
      <c r="G6" s="26"/>
      <c r="H6" s="26"/>
      <c r="I6" s="209" t="s">
        <v>102</v>
      </c>
      <c r="J6" s="209"/>
      <c r="K6" s="209"/>
    </row>
    <row r="7" spans="1:11" ht="39.75" customHeight="1" thickBot="1" x14ac:dyDescent="0.7">
      <c r="C7" s="28"/>
      <c r="D7" s="28"/>
      <c r="E7" s="28"/>
      <c r="F7" s="28"/>
      <c r="G7" s="28"/>
      <c r="H7" s="28"/>
      <c r="I7" s="22" t="str">
        <f>'درآمد سرمایه گذاری در سهام'!C7</f>
        <v>طی مهر ماه</v>
      </c>
      <c r="J7" s="28"/>
      <c r="K7" s="22" t="str">
        <f>'درآمد سرمایه گذاری در سهام'!M7</f>
        <v>از ابتدای سال مالی تا پایان مهر ماه</v>
      </c>
    </row>
    <row r="8" spans="1:11" ht="54.75" customHeight="1" thickBot="1" x14ac:dyDescent="0.7">
      <c r="A8" s="38" t="s">
        <v>84</v>
      </c>
      <c r="B8" s="27"/>
      <c r="C8" s="52" t="s">
        <v>85</v>
      </c>
      <c r="D8" s="27"/>
      <c r="E8" s="52" t="s">
        <v>86</v>
      </c>
      <c r="F8" s="27"/>
      <c r="G8" s="52" t="s">
        <v>87</v>
      </c>
      <c r="H8" s="27"/>
      <c r="I8" s="52" t="s">
        <v>88</v>
      </c>
      <c r="J8" s="27"/>
      <c r="K8" s="52" t="s">
        <v>88</v>
      </c>
    </row>
    <row r="9" spans="1:11" ht="39.75" customHeight="1" thickBot="1" x14ac:dyDescent="0.65">
      <c r="A9" s="37" t="s">
        <v>185</v>
      </c>
      <c r="B9" s="21"/>
      <c r="C9" s="25" t="s">
        <v>153</v>
      </c>
      <c r="D9" s="25"/>
      <c r="E9" s="25">
        <v>1000000</v>
      </c>
      <c r="F9" s="25"/>
      <c r="G9" s="25">
        <v>211</v>
      </c>
      <c r="H9" s="25"/>
      <c r="I9" s="45">
        <v>0</v>
      </c>
      <c r="J9" s="25"/>
      <c r="K9" s="25">
        <v>429000000</v>
      </c>
    </row>
    <row r="10" spans="1:11" ht="38.25" customHeight="1" thickBot="1" x14ac:dyDescent="0.65">
      <c r="A10" s="21"/>
      <c r="B10" s="21"/>
      <c r="C10" s="21"/>
      <c r="D10" s="21"/>
      <c r="E10" s="21"/>
      <c r="F10" s="21"/>
      <c r="G10" s="21"/>
      <c r="H10" s="21"/>
      <c r="I10" s="46">
        <f>SUM(I9:I9)</f>
        <v>0</v>
      </c>
      <c r="J10" s="20"/>
      <c r="K10" s="36">
        <f>SUM(K9:K9)</f>
        <v>429000000</v>
      </c>
    </row>
    <row r="11" spans="1:11" ht="16.5" thickTop="1" x14ac:dyDescent="0.4"/>
    <row r="12" spans="1:11" ht="22.5" hidden="1" x14ac:dyDescent="0.4">
      <c r="I12" s="12">
        <v>0</v>
      </c>
      <c r="J12" s="12"/>
      <c r="K12" s="12">
        <v>429000000</v>
      </c>
    </row>
    <row r="13" spans="1:11" ht="22.5" hidden="1" x14ac:dyDescent="0.4">
      <c r="I13" s="12">
        <f>I12-I10</f>
        <v>0</v>
      </c>
      <c r="K13" s="12">
        <f>K12-K10</f>
        <v>0</v>
      </c>
    </row>
    <row r="15" spans="1:11" x14ac:dyDescent="0.4">
      <c r="K15" s="19">
        <f>K10-'درآمد سرمایه گذاری در صندوق'!M27</f>
        <v>0</v>
      </c>
    </row>
  </sheetData>
  <mergeCells count="5">
    <mergeCell ref="A1:K1"/>
    <mergeCell ref="A2:K2"/>
    <mergeCell ref="A3:K3"/>
    <mergeCell ref="A5:K5"/>
    <mergeCell ref="I6:K6"/>
  </mergeCells>
  <pageMargins left="0.39" right="0.39" top="0.39" bottom="0.39" header="0" footer="0"/>
  <pageSetup scale="6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15"/>
  <sheetViews>
    <sheetView rightToLeft="1" view="pageBreakPreview" zoomScale="70" zoomScaleNormal="100" zoomScaleSheetLayoutView="70" workbookViewId="0">
      <selection activeCell="C16" sqref="C16"/>
    </sheetView>
  </sheetViews>
  <sheetFormatPr defaultRowHeight="15.75" x14ac:dyDescent="0.4"/>
  <cols>
    <col min="1" max="1" width="39" style="17" customWidth="1"/>
    <col min="2" max="2" width="1.42578125" style="17" customWidth="1"/>
    <col min="3" max="3" width="24.5703125" style="17" customWidth="1"/>
    <col min="4" max="4" width="1.42578125" style="17" customWidth="1"/>
    <col min="5" max="5" width="21.7109375" style="17" customWidth="1"/>
    <col min="6" max="6" width="1.42578125" style="17" customWidth="1"/>
    <col min="7" max="7" width="25.7109375" style="17" customWidth="1"/>
    <col min="8" max="8" width="1.42578125" style="17" customWidth="1"/>
    <col min="9" max="9" width="28" style="17" customWidth="1"/>
    <col min="10" max="10" width="1.42578125" style="17" customWidth="1"/>
    <col min="11" max="11" width="28.85546875" style="17" customWidth="1"/>
    <col min="12" max="12" width="1.42578125" style="17" customWidth="1"/>
    <col min="13" max="13" width="30.85546875" style="17" customWidth="1"/>
    <col min="14" max="14" width="1.42578125" style="17" customWidth="1"/>
    <col min="15" max="16384" width="9.140625" style="17"/>
  </cols>
  <sheetData>
    <row r="1" spans="1:15" ht="39" customHeight="1" x14ac:dyDescent="0.4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5" ht="39" customHeight="1" x14ac:dyDescent="0.4">
      <c r="A2" s="193" t="s">
        <v>58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5" ht="39" customHeight="1" x14ac:dyDescent="0.4">
      <c r="A3" s="193" t="str">
        <f>درآمد!A3</f>
        <v>دوره یک ماهه منتهی به 30 مهر 1405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</row>
    <row r="4" spans="1:15" ht="39" customHeight="1" x14ac:dyDescent="0.4"/>
    <row r="5" spans="1:15" ht="39" customHeight="1" x14ac:dyDescent="0.4">
      <c r="A5" s="192" t="s">
        <v>131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15" ht="39" customHeight="1" x14ac:dyDescent="0.4">
      <c r="A6" s="15"/>
      <c r="B6" s="15"/>
      <c r="C6" s="211" t="s">
        <v>102</v>
      </c>
      <c r="D6" s="211"/>
      <c r="E6" s="211"/>
      <c r="F6" s="211"/>
      <c r="G6" s="211"/>
      <c r="H6" s="211"/>
      <c r="I6" s="211"/>
      <c r="J6" s="211"/>
      <c r="K6" s="211"/>
      <c r="L6" s="211"/>
      <c r="M6" s="211"/>
    </row>
    <row r="7" spans="1:15" ht="39" customHeight="1" thickBot="1" x14ac:dyDescent="0.7">
      <c r="A7" s="219" t="s">
        <v>59</v>
      </c>
      <c r="B7" s="23"/>
      <c r="C7" s="198" t="str">
        <f>'درآمد سرمایه گذاری در سهام'!C7</f>
        <v>طی مهر ماه</v>
      </c>
      <c r="D7" s="188"/>
      <c r="E7" s="188"/>
      <c r="F7" s="188"/>
      <c r="G7" s="188"/>
      <c r="H7" s="23"/>
      <c r="I7" s="198" t="str">
        <f>'درآمد سرمایه گذاری در سهام'!M7</f>
        <v>از ابتدای سال مالی تا پایان مهر ماه</v>
      </c>
      <c r="J7" s="188"/>
      <c r="K7" s="188"/>
      <c r="L7" s="188"/>
      <c r="M7" s="188"/>
    </row>
    <row r="8" spans="1:15" ht="39" customHeight="1" thickBot="1" x14ac:dyDescent="0.7">
      <c r="A8" s="188"/>
      <c r="B8" s="23"/>
      <c r="C8" s="50" t="s">
        <v>89</v>
      </c>
      <c r="D8" s="23"/>
      <c r="E8" s="50" t="s">
        <v>82</v>
      </c>
      <c r="F8" s="23"/>
      <c r="G8" s="50" t="s">
        <v>90</v>
      </c>
      <c r="H8" s="23"/>
      <c r="I8" s="50" t="s">
        <v>89</v>
      </c>
      <c r="J8" s="23"/>
      <c r="K8" s="50" t="s">
        <v>82</v>
      </c>
      <c r="L8" s="23"/>
      <c r="M8" s="50" t="s">
        <v>90</v>
      </c>
    </row>
    <row r="9" spans="1:15" ht="39" customHeight="1" x14ac:dyDescent="0.6">
      <c r="A9" s="34" t="s">
        <v>50</v>
      </c>
      <c r="B9" s="18"/>
      <c r="C9" s="43">
        <v>28045560277</v>
      </c>
      <c r="D9" s="24"/>
      <c r="E9" s="43">
        <v>0</v>
      </c>
      <c r="F9" s="24"/>
      <c r="G9" s="43">
        <f>C9+E9</f>
        <v>28045560277</v>
      </c>
      <c r="H9" s="24"/>
      <c r="I9" s="43">
        <v>154622830473</v>
      </c>
      <c r="J9" s="24"/>
      <c r="K9" s="43">
        <v>0</v>
      </c>
      <c r="L9" s="24"/>
      <c r="M9" s="43">
        <f>I9+K9</f>
        <v>154622830473</v>
      </c>
    </row>
    <row r="10" spans="1:15" ht="39" customHeight="1" thickBot="1" x14ac:dyDescent="0.65">
      <c r="A10" s="34" t="s">
        <v>54</v>
      </c>
      <c r="B10" s="18"/>
      <c r="C10" s="47">
        <v>0</v>
      </c>
      <c r="D10" s="24"/>
      <c r="E10" s="47">
        <v>0</v>
      </c>
      <c r="F10" s="24"/>
      <c r="G10" s="47">
        <f>C10+E10</f>
        <v>0</v>
      </c>
      <c r="H10" s="24"/>
      <c r="I10" s="47">
        <v>3881554</v>
      </c>
      <c r="J10" s="24"/>
      <c r="K10" s="47">
        <v>0</v>
      </c>
      <c r="L10" s="24"/>
      <c r="M10" s="47">
        <f>I10+K10</f>
        <v>3881554</v>
      </c>
    </row>
    <row r="11" spans="1:15" ht="39" customHeight="1" thickBot="1" x14ac:dyDescent="0.65">
      <c r="A11" s="48"/>
      <c r="B11" s="18"/>
      <c r="C11" s="51">
        <f>SUM(C9:C10)</f>
        <v>28045560277</v>
      </c>
      <c r="D11" s="24"/>
      <c r="E11" s="51">
        <f>SUM(E9:E10)</f>
        <v>0</v>
      </c>
      <c r="F11" s="24"/>
      <c r="G11" s="51">
        <f>SUM(G9:G10)</f>
        <v>28045560277</v>
      </c>
      <c r="H11" s="24"/>
      <c r="I11" s="51">
        <f>SUM(I9:I10)</f>
        <v>154626712027</v>
      </c>
      <c r="J11" s="24"/>
      <c r="K11" s="51">
        <f>SUM(K9:K10)</f>
        <v>0</v>
      </c>
      <c r="L11" s="24"/>
      <c r="M11" s="51">
        <f>SUM(M9:M10)</f>
        <v>154626712027</v>
      </c>
      <c r="O11" s="39"/>
    </row>
    <row r="12" spans="1:15" ht="16.5" thickTop="1" x14ac:dyDescent="0.4">
      <c r="O12" s="39"/>
    </row>
    <row r="13" spans="1:15" ht="24.75" hidden="1" x14ac:dyDescent="0.4">
      <c r="C13" s="43">
        <f>'درآمد سرمایه گذاری در اوراق به'!C12</f>
        <v>28045560277</v>
      </c>
      <c r="D13" s="24"/>
      <c r="E13" s="24">
        <v>0</v>
      </c>
      <c r="F13" s="24"/>
      <c r="G13" s="43">
        <f>C13+E13</f>
        <v>28045560277</v>
      </c>
      <c r="H13" s="24"/>
      <c r="I13" s="43">
        <f>'درآمد سرمایه گذاری در اوراق به'!M12</f>
        <v>154626712027</v>
      </c>
      <c r="J13" s="24"/>
      <c r="K13" s="24">
        <v>0</v>
      </c>
      <c r="L13" s="24"/>
      <c r="M13" s="43">
        <f>I13+K13</f>
        <v>154626712027</v>
      </c>
    </row>
    <row r="14" spans="1:15" ht="24.75" hidden="1" x14ac:dyDescent="0.4">
      <c r="C14" s="43">
        <f>C13-C11</f>
        <v>0</v>
      </c>
      <c r="D14" s="24"/>
      <c r="E14" s="43">
        <f>E13-E11</f>
        <v>0</v>
      </c>
      <c r="F14" s="24"/>
      <c r="G14" s="43">
        <f>G13-G11</f>
        <v>0</v>
      </c>
      <c r="H14" s="24"/>
      <c r="I14" s="43">
        <f>I13-I11</f>
        <v>0</v>
      </c>
      <c r="J14" s="24"/>
      <c r="K14" s="43">
        <f>K13-K11</f>
        <v>0</v>
      </c>
      <c r="L14" s="24"/>
      <c r="M14" s="43">
        <f>M13-M11</f>
        <v>0</v>
      </c>
    </row>
    <row r="15" spans="1:15" ht="24.75" x14ac:dyDescent="0.4">
      <c r="C15" s="43"/>
      <c r="D15" s="24"/>
      <c r="E15" s="24"/>
      <c r="F15" s="24"/>
      <c r="G15" s="43"/>
      <c r="H15" s="24"/>
      <c r="I15" s="24"/>
      <c r="J15" s="24"/>
      <c r="K15" s="24"/>
      <c r="L15" s="24"/>
      <c r="M15" s="43"/>
    </row>
  </sheetData>
  <sortState xmlns:xlrd2="http://schemas.microsoft.com/office/spreadsheetml/2017/richdata2" ref="A9:M10">
    <sortCondition descending="1" ref="M9:M10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16"/>
  <sheetViews>
    <sheetView rightToLeft="1" view="pageBreakPreview" zoomScale="70" zoomScaleNormal="100" zoomScaleSheetLayoutView="70" workbookViewId="0">
      <selection activeCell="Y21" sqref="Y21:Y22"/>
    </sheetView>
  </sheetViews>
  <sheetFormatPr defaultColWidth="9.140625" defaultRowHeight="15.75" x14ac:dyDescent="0.4"/>
  <cols>
    <col min="1" max="1" width="39" style="17" customWidth="1"/>
    <col min="2" max="2" width="1.42578125" style="17" customWidth="1"/>
    <col min="3" max="3" width="31.7109375" style="17" customWidth="1"/>
    <col min="4" max="4" width="1.42578125" style="17" customWidth="1"/>
    <col min="5" max="5" width="30.28515625" style="17" customWidth="1"/>
    <col min="6" max="6" width="1.42578125" style="17" customWidth="1"/>
    <col min="7" max="7" width="32.7109375" style="17" customWidth="1"/>
    <col min="8" max="8" width="1.42578125" style="17" customWidth="1"/>
    <col min="9" max="9" width="26" style="17" customWidth="1"/>
    <col min="10" max="10" width="1.42578125" style="17" customWidth="1"/>
    <col min="11" max="11" width="27" style="17" customWidth="1"/>
    <col min="12" max="12" width="1.42578125" style="17" customWidth="1"/>
    <col min="13" max="13" width="32.42578125" style="17" customWidth="1"/>
    <col min="14" max="14" width="1.42578125" style="17" customWidth="1"/>
    <col min="15" max="15" width="10" style="17" bestFit="1" customWidth="1"/>
    <col min="16" max="16384" width="9.140625" style="17"/>
  </cols>
  <sheetData>
    <row r="1" spans="1:16" ht="39" customHeight="1" x14ac:dyDescent="0.4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6" ht="39" customHeight="1" x14ac:dyDescent="0.4">
      <c r="A2" s="193" t="s">
        <v>58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6" ht="39" customHeight="1" x14ac:dyDescent="0.4">
      <c r="A3" s="193" t="str">
        <f>درآمد!A3</f>
        <v>دوره یک ماهه منتهی به 30 مهر 1405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</row>
    <row r="4" spans="1:16" ht="39" customHeight="1" x14ac:dyDescent="0.4"/>
    <row r="5" spans="1:16" ht="39" customHeight="1" x14ac:dyDescent="0.4">
      <c r="A5" s="192" t="s">
        <v>132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16" ht="39" customHeight="1" x14ac:dyDescent="0.4">
      <c r="A6" s="15"/>
      <c r="B6" s="15"/>
      <c r="C6" s="211" t="s">
        <v>102</v>
      </c>
      <c r="D6" s="211"/>
      <c r="E6" s="211"/>
      <c r="F6" s="211"/>
      <c r="G6" s="211"/>
      <c r="H6" s="211"/>
      <c r="I6" s="211"/>
      <c r="J6" s="211"/>
      <c r="K6" s="211"/>
      <c r="L6" s="211"/>
      <c r="M6" s="211"/>
    </row>
    <row r="7" spans="1:16" ht="39" customHeight="1" thickBot="1" x14ac:dyDescent="0.7">
      <c r="A7" s="219" t="s">
        <v>59</v>
      </c>
      <c r="B7" s="23"/>
      <c r="C7" s="198" t="str">
        <f>'درآمد سرمایه گذاری در سهام'!C7</f>
        <v>طی مهر ماه</v>
      </c>
      <c r="D7" s="188"/>
      <c r="E7" s="188"/>
      <c r="F7" s="188"/>
      <c r="G7" s="188"/>
      <c r="H7" s="23"/>
      <c r="I7" s="198" t="str">
        <f>'درآمد سرمایه گذاری در سهام'!M7</f>
        <v>از ابتدای سال مالی تا پایان مهر ماه</v>
      </c>
      <c r="J7" s="188"/>
      <c r="K7" s="188"/>
      <c r="L7" s="188"/>
      <c r="M7" s="188"/>
    </row>
    <row r="8" spans="1:16" ht="39" customHeight="1" thickBot="1" x14ac:dyDescent="0.7">
      <c r="A8" s="188"/>
      <c r="B8" s="23"/>
      <c r="C8" s="50" t="s">
        <v>89</v>
      </c>
      <c r="D8" s="23"/>
      <c r="E8" s="50" t="s">
        <v>82</v>
      </c>
      <c r="F8" s="23"/>
      <c r="G8" s="50" t="s">
        <v>90</v>
      </c>
      <c r="H8" s="23"/>
      <c r="I8" s="50" t="s">
        <v>89</v>
      </c>
      <c r="J8" s="23"/>
      <c r="K8" s="50" t="s">
        <v>82</v>
      </c>
      <c r="L8" s="23"/>
      <c r="M8" s="50" t="s">
        <v>90</v>
      </c>
    </row>
    <row r="9" spans="1:16" ht="39" customHeight="1" x14ac:dyDescent="0.6">
      <c r="A9" s="34" t="s">
        <v>177</v>
      </c>
      <c r="B9" s="18"/>
      <c r="C9" s="43">
        <v>12598173607</v>
      </c>
      <c r="D9" s="24"/>
      <c r="E9" s="43">
        <v>0</v>
      </c>
      <c r="F9" s="24"/>
      <c r="G9" s="43">
        <f>C9+E9</f>
        <v>12598173607</v>
      </c>
      <c r="H9" s="24"/>
      <c r="I9" s="43">
        <v>37711496159</v>
      </c>
      <c r="J9" s="24"/>
      <c r="K9" s="43">
        <v>0</v>
      </c>
      <c r="L9" s="24"/>
      <c r="M9" s="43">
        <f>I9+K9</f>
        <v>37711496159</v>
      </c>
    </row>
    <row r="10" spans="1:16" ht="39" customHeight="1" x14ac:dyDescent="0.6">
      <c r="A10" s="34" t="s">
        <v>104</v>
      </c>
      <c r="B10" s="18"/>
      <c r="C10" s="43">
        <v>0</v>
      </c>
      <c r="D10" s="24"/>
      <c r="E10" s="43">
        <v>0</v>
      </c>
      <c r="F10" s="24"/>
      <c r="G10" s="43">
        <f>C10+E10</f>
        <v>0</v>
      </c>
      <c r="H10" s="24"/>
      <c r="I10" s="43">
        <v>530374870</v>
      </c>
      <c r="J10" s="24"/>
      <c r="K10" s="43">
        <v>0</v>
      </c>
      <c r="L10" s="24"/>
      <c r="M10" s="43">
        <f>I10+K10</f>
        <v>530374870</v>
      </c>
    </row>
    <row r="11" spans="1:16" ht="39" customHeight="1" thickBot="1" x14ac:dyDescent="0.65">
      <c r="A11" s="34" t="s">
        <v>105</v>
      </c>
      <c r="B11" s="18"/>
      <c r="C11" s="47">
        <v>0</v>
      </c>
      <c r="D11" s="24"/>
      <c r="E11" s="47">
        <v>0</v>
      </c>
      <c r="F11" s="24"/>
      <c r="G11" s="47">
        <f>C11+E11</f>
        <v>0</v>
      </c>
      <c r="H11" s="24"/>
      <c r="I11" s="47">
        <v>32253300</v>
      </c>
      <c r="J11" s="24"/>
      <c r="K11" s="47">
        <v>0</v>
      </c>
      <c r="L11" s="24"/>
      <c r="M11" s="47">
        <f>I11+K11</f>
        <v>32253300</v>
      </c>
    </row>
    <row r="12" spans="1:16" ht="39" customHeight="1" thickBot="1" x14ac:dyDescent="0.65">
      <c r="A12" s="48"/>
      <c r="B12" s="18"/>
      <c r="C12" s="49">
        <f>SUM(C9:C11)</f>
        <v>12598173607</v>
      </c>
      <c r="D12" s="7"/>
      <c r="E12" s="49">
        <f>SUM(E9:E11)</f>
        <v>0</v>
      </c>
      <c r="F12" s="7"/>
      <c r="G12" s="49">
        <f>SUM(G9:G11)</f>
        <v>12598173607</v>
      </c>
      <c r="H12" s="7"/>
      <c r="I12" s="49">
        <f>SUM(I9:I11)</f>
        <v>38274124329</v>
      </c>
      <c r="J12" s="7"/>
      <c r="K12" s="49">
        <f>SUM(K9:K11)</f>
        <v>0</v>
      </c>
      <c r="L12" s="7"/>
      <c r="M12" s="49">
        <f>SUM(M9:M11)</f>
        <v>38274124329</v>
      </c>
      <c r="O12" s="39"/>
      <c r="P12" s="39"/>
    </row>
    <row r="13" spans="1:16" ht="16.5" thickTop="1" x14ac:dyDescent="0.4">
      <c r="O13" s="39"/>
      <c r="P13" s="39"/>
    </row>
    <row r="14" spans="1:16" ht="24.75" hidden="1" x14ac:dyDescent="0.4">
      <c r="C14" s="43">
        <f>'درآمد سپرده بانکی'!C13</f>
        <v>12598173607</v>
      </c>
      <c r="D14" s="24"/>
      <c r="E14" s="24"/>
      <c r="F14" s="24"/>
      <c r="G14" s="24"/>
      <c r="H14" s="24"/>
      <c r="I14" s="43">
        <f>'درآمد سپرده بانکی'!G13</f>
        <v>38274124329</v>
      </c>
      <c r="J14" s="24"/>
      <c r="K14" s="24"/>
      <c r="L14" s="24"/>
      <c r="M14" s="24"/>
    </row>
    <row r="15" spans="1:16" ht="24.75" hidden="1" x14ac:dyDescent="0.4">
      <c r="C15" s="43">
        <f>C14-C12</f>
        <v>0</v>
      </c>
      <c r="D15" s="24"/>
      <c r="E15" s="24"/>
      <c r="F15" s="24"/>
      <c r="G15" s="24"/>
      <c r="H15" s="24"/>
      <c r="I15" s="43">
        <f>I14-I12</f>
        <v>0</v>
      </c>
      <c r="J15" s="24"/>
      <c r="K15" s="24"/>
      <c r="L15" s="24"/>
      <c r="M15" s="43"/>
    </row>
    <row r="16" spans="1:16" ht="22.5" x14ac:dyDescent="0.4">
      <c r="C16" s="39"/>
      <c r="I16" s="10"/>
      <c r="J16" s="14"/>
      <c r="K16" s="14"/>
      <c r="L16" s="14"/>
      <c r="M16" s="10"/>
    </row>
  </sheetData>
  <sortState xmlns:xlrd2="http://schemas.microsoft.com/office/spreadsheetml/2017/richdata2" ref="A9:M11">
    <sortCondition descending="1" ref="M9:M11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5"/>
  <sheetViews>
    <sheetView rightToLeft="1" view="pageBreakPreview" topLeftCell="A30" zoomScale="41" zoomScaleNormal="100" zoomScaleSheetLayoutView="41" workbookViewId="0">
      <selection activeCell="T46" sqref="T46"/>
    </sheetView>
  </sheetViews>
  <sheetFormatPr defaultColWidth="9.140625" defaultRowHeight="15.75" x14ac:dyDescent="0.4"/>
  <cols>
    <col min="1" max="1" width="70.28515625" style="68" customWidth="1"/>
    <col min="2" max="2" width="1.28515625" style="68" customWidth="1"/>
    <col min="3" max="3" width="35.85546875" style="68" bestFit="1" customWidth="1"/>
    <col min="4" max="4" width="1.28515625" style="68" customWidth="1"/>
    <col min="5" max="5" width="42.140625" style="68" bestFit="1" customWidth="1"/>
    <col min="6" max="6" width="1.28515625" style="68" customWidth="1"/>
    <col min="7" max="7" width="45" style="68" bestFit="1" customWidth="1"/>
    <col min="8" max="8" width="1.28515625" style="68" customWidth="1"/>
    <col min="9" max="9" width="62.140625" style="68" bestFit="1" customWidth="1"/>
    <col min="10" max="10" width="1.28515625" style="68" customWidth="1"/>
    <col min="11" max="11" width="35.85546875" style="68" bestFit="1" customWidth="1"/>
    <col min="12" max="12" width="1.28515625" style="68" customWidth="1"/>
    <col min="13" max="13" width="45" style="68" bestFit="1" customWidth="1"/>
    <col min="14" max="14" width="1.28515625" style="68" customWidth="1"/>
    <col min="15" max="15" width="48.28515625" style="68" bestFit="1" customWidth="1"/>
    <col min="16" max="16" width="1.28515625" style="68" customWidth="1"/>
    <col min="17" max="17" width="62.140625" style="68" bestFit="1" customWidth="1"/>
    <col min="18" max="18" width="1" style="68" customWidth="1"/>
    <col min="19" max="19" width="39.5703125" style="68" bestFit="1" customWidth="1"/>
    <col min="20" max="20" width="39.140625" style="68" bestFit="1" customWidth="1"/>
    <col min="21" max="21" width="29.7109375" style="68" bestFit="1" customWidth="1"/>
    <col min="22" max="22" width="4.7109375" style="68" bestFit="1" customWidth="1"/>
    <col min="23" max="23" width="23.140625" style="68" bestFit="1" customWidth="1"/>
    <col min="24" max="24" width="22.5703125" style="68" bestFit="1" customWidth="1"/>
    <col min="25" max="16384" width="9.140625" style="68"/>
  </cols>
  <sheetData>
    <row r="1" spans="1:20" ht="60.75" customHeight="1" x14ac:dyDescent="0.4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20" ht="60.75" customHeight="1" x14ac:dyDescent="0.4">
      <c r="A2" s="224" t="s">
        <v>58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69"/>
    </row>
    <row r="3" spans="1:20" ht="60.75" customHeight="1" x14ac:dyDescent="0.4">
      <c r="A3" s="224" t="str">
        <f>درآمد!A3</f>
        <v>دوره یک ماهه منتهی به 30 مهر 1405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69"/>
    </row>
    <row r="4" spans="1:20" ht="36" customHeight="1" x14ac:dyDescent="0.4"/>
    <row r="5" spans="1:20" ht="60.75" customHeight="1" x14ac:dyDescent="0.4">
      <c r="A5" s="222" t="s">
        <v>194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70"/>
    </row>
    <row r="6" spans="1:20" ht="60.75" customHeight="1" x14ac:dyDescent="0.4">
      <c r="A6" s="71"/>
      <c r="B6" s="71"/>
      <c r="C6" s="223" t="s">
        <v>102</v>
      </c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70"/>
    </row>
    <row r="7" spans="1:20" ht="44.25" customHeight="1" thickBot="1" x14ac:dyDescent="1.05">
      <c r="A7" s="220" t="s">
        <v>59</v>
      </c>
      <c r="B7" s="72"/>
      <c r="C7" s="221" t="str">
        <f>'درآمد سرمایه گذاری در سهام'!C7</f>
        <v>طی مهر ماه</v>
      </c>
      <c r="D7" s="221"/>
      <c r="E7" s="221"/>
      <c r="F7" s="221"/>
      <c r="G7" s="221"/>
      <c r="H7" s="221"/>
      <c r="I7" s="221"/>
      <c r="J7" s="72"/>
      <c r="K7" s="221" t="str">
        <f>'درآمد سرمایه گذاری در سهام'!M7</f>
        <v>از ابتدای سال مالی تا پایان مهر ماه</v>
      </c>
      <c r="L7" s="221"/>
      <c r="M7" s="221"/>
      <c r="N7" s="221"/>
      <c r="O7" s="221"/>
      <c r="P7" s="221"/>
      <c r="Q7" s="221"/>
      <c r="R7" s="73"/>
    </row>
    <row r="8" spans="1:20" ht="62.25" customHeight="1" thickBot="1" x14ac:dyDescent="1.05">
      <c r="A8" s="221"/>
      <c r="B8" s="72"/>
      <c r="C8" s="74" t="s">
        <v>6</v>
      </c>
      <c r="D8" s="72"/>
      <c r="E8" s="74" t="s">
        <v>8</v>
      </c>
      <c r="F8" s="72"/>
      <c r="G8" s="74" t="s">
        <v>92</v>
      </c>
      <c r="H8" s="72"/>
      <c r="I8" s="74" t="s">
        <v>98</v>
      </c>
      <c r="J8" s="72"/>
      <c r="K8" s="74" t="s">
        <v>6</v>
      </c>
      <c r="L8" s="72"/>
      <c r="M8" s="74" t="s">
        <v>8</v>
      </c>
      <c r="N8" s="72"/>
      <c r="O8" s="74" t="s">
        <v>92</v>
      </c>
      <c r="P8" s="72"/>
      <c r="Q8" s="74" t="s">
        <v>98</v>
      </c>
      <c r="R8" s="75"/>
    </row>
    <row r="9" spans="1:20" ht="60.75" customHeight="1" x14ac:dyDescent="0.95">
      <c r="A9" s="84" t="s">
        <v>18</v>
      </c>
      <c r="B9" s="85"/>
      <c r="C9" s="173">
        <v>535084349</v>
      </c>
      <c r="D9" s="167"/>
      <c r="E9" s="173">
        <v>442713123092</v>
      </c>
      <c r="F9" s="167"/>
      <c r="G9" s="173">
        <v>-452162091330</v>
      </c>
      <c r="H9" s="167"/>
      <c r="I9" s="173">
        <f>E9+G9</f>
        <v>-9448968238</v>
      </c>
      <c r="J9" s="167"/>
      <c r="K9" s="173">
        <v>535084349</v>
      </c>
      <c r="L9" s="167"/>
      <c r="M9" s="173">
        <v>442713123092</v>
      </c>
      <c r="N9" s="167"/>
      <c r="O9" s="173">
        <v>-387410618979</v>
      </c>
      <c r="P9" s="167"/>
      <c r="Q9" s="173">
        <f>M9+O9</f>
        <v>55302504113</v>
      </c>
      <c r="R9" s="79"/>
      <c r="S9" s="82"/>
      <c r="T9" s="86"/>
    </row>
    <row r="10" spans="1:20" ht="60.75" customHeight="1" x14ac:dyDescent="0.95">
      <c r="A10" s="84" t="s">
        <v>25</v>
      </c>
      <c r="B10" s="85"/>
      <c r="C10" s="167">
        <v>130000000</v>
      </c>
      <c r="D10" s="167"/>
      <c r="E10" s="167">
        <v>2720131128000</v>
      </c>
      <c r="F10" s="167"/>
      <c r="G10" s="167">
        <v>-2859987255556</v>
      </c>
      <c r="H10" s="167"/>
      <c r="I10" s="167">
        <f t="shared" ref="I10:I20" si="0">E10+G10</f>
        <v>-139856127556</v>
      </c>
      <c r="J10" s="167"/>
      <c r="K10" s="167">
        <v>130000000</v>
      </c>
      <c r="L10" s="167"/>
      <c r="M10" s="167">
        <v>2720131128000</v>
      </c>
      <c r="N10" s="167"/>
      <c r="O10" s="167">
        <v>-2550664202641</v>
      </c>
      <c r="P10" s="167"/>
      <c r="Q10" s="167">
        <f t="shared" ref="Q10:Q22" si="1">M10+O10</f>
        <v>169466925359</v>
      </c>
      <c r="R10" s="79"/>
      <c r="S10" s="82"/>
      <c r="T10" s="86"/>
    </row>
    <row r="11" spans="1:20" ht="60.75" customHeight="1" x14ac:dyDescent="0.75">
      <c r="A11" s="84" t="s">
        <v>16</v>
      </c>
      <c r="B11" s="88"/>
      <c r="C11" s="167">
        <v>2800000</v>
      </c>
      <c r="D11" s="167"/>
      <c r="E11" s="167">
        <v>57915950400</v>
      </c>
      <c r="F11" s="167"/>
      <c r="G11" s="167">
        <v>-95155626720</v>
      </c>
      <c r="H11" s="167"/>
      <c r="I11" s="167">
        <f t="shared" si="0"/>
        <v>-37239676320</v>
      </c>
      <c r="J11" s="167"/>
      <c r="K11" s="167">
        <v>2800000</v>
      </c>
      <c r="L11" s="167"/>
      <c r="M11" s="167">
        <v>57915950400</v>
      </c>
      <c r="N11" s="167"/>
      <c r="O11" s="167">
        <v>-24677230955</v>
      </c>
      <c r="P11" s="167"/>
      <c r="Q11" s="167">
        <f t="shared" si="1"/>
        <v>33238719445</v>
      </c>
      <c r="R11" s="79"/>
      <c r="S11" s="82"/>
      <c r="T11" s="86"/>
    </row>
    <row r="12" spans="1:20" ht="60.75" customHeight="1" x14ac:dyDescent="0.95">
      <c r="A12" s="84" t="s">
        <v>19</v>
      </c>
      <c r="B12" s="85"/>
      <c r="C12" s="167">
        <v>30718316</v>
      </c>
      <c r="D12" s="167"/>
      <c r="E12" s="167">
        <v>61021600518</v>
      </c>
      <c r="F12" s="167"/>
      <c r="G12" s="167">
        <v>-54360792011</v>
      </c>
      <c r="H12" s="167"/>
      <c r="I12" s="167">
        <f t="shared" si="0"/>
        <v>6660808507</v>
      </c>
      <c r="J12" s="167"/>
      <c r="K12" s="167">
        <v>30718316</v>
      </c>
      <c r="L12" s="167"/>
      <c r="M12" s="167">
        <v>61021600518</v>
      </c>
      <c r="N12" s="167"/>
      <c r="O12" s="167">
        <v>-49510986738</v>
      </c>
      <c r="P12" s="167"/>
      <c r="Q12" s="167">
        <f t="shared" si="1"/>
        <v>11510613780</v>
      </c>
      <c r="R12" s="79"/>
      <c r="S12" s="82"/>
      <c r="T12" s="86"/>
    </row>
    <row r="13" spans="1:20" ht="60.75" customHeight="1" x14ac:dyDescent="0.75">
      <c r="A13" s="84" t="s">
        <v>14</v>
      </c>
      <c r="B13" s="88"/>
      <c r="C13" s="167">
        <v>9524413</v>
      </c>
      <c r="D13" s="167"/>
      <c r="E13" s="167">
        <v>212232990148</v>
      </c>
      <c r="F13" s="167"/>
      <c r="G13" s="167">
        <v>-210614658495</v>
      </c>
      <c r="H13" s="167"/>
      <c r="I13" s="167">
        <f t="shared" si="0"/>
        <v>1618331653</v>
      </c>
      <c r="J13" s="167"/>
      <c r="K13" s="167">
        <v>9524413</v>
      </c>
      <c r="L13" s="167"/>
      <c r="M13" s="167">
        <v>212232990148</v>
      </c>
      <c r="N13" s="167"/>
      <c r="O13" s="167">
        <v>-114593889293</v>
      </c>
      <c r="P13" s="167"/>
      <c r="Q13" s="167">
        <f t="shared" si="1"/>
        <v>97639100855</v>
      </c>
      <c r="R13" s="79"/>
      <c r="S13" s="82"/>
      <c r="T13" s="86"/>
    </row>
    <row r="14" spans="1:20" ht="60.75" customHeight="1" x14ac:dyDescent="0.75">
      <c r="A14" s="84" t="s">
        <v>20</v>
      </c>
      <c r="B14" s="88"/>
      <c r="C14" s="167">
        <v>6360750</v>
      </c>
      <c r="D14" s="167"/>
      <c r="E14" s="167">
        <v>186673247927</v>
      </c>
      <c r="F14" s="167"/>
      <c r="G14" s="167">
        <v>-190670383595</v>
      </c>
      <c r="H14" s="167"/>
      <c r="I14" s="167">
        <f t="shared" si="0"/>
        <v>-3997135668</v>
      </c>
      <c r="J14" s="167"/>
      <c r="K14" s="167">
        <v>6360750</v>
      </c>
      <c r="L14" s="167"/>
      <c r="M14" s="167">
        <v>186673247927</v>
      </c>
      <c r="N14" s="167"/>
      <c r="O14" s="167">
        <v>-128505817150</v>
      </c>
      <c r="P14" s="167"/>
      <c r="Q14" s="167">
        <f t="shared" si="1"/>
        <v>58167430777</v>
      </c>
      <c r="R14" s="79"/>
      <c r="S14" s="82"/>
      <c r="T14" s="86"/>
    </row>
    <row r="15" spans="1:20" ht="60.75" customHeight="1" x14ac:dyDescent="0.75">
      <c r="A15" s="84" t="s">
        <v>28</v>
      </c>
      <c r="B15" s="88"/>
      <c r="C15" s="167">
        <v>255250059</v>
      </c>
      <c r="D15" s="167"/>
      <c r="E15" s="167">
        <v>867190634447</v>
      </c>
      <c r="F15" s="167"/>
      <c r="G15" s="167">
        <v>-742787640814</v>
      </c>
      <c r="H15" s="167"/>
      <c r="I15" s="167">
        <f t="shared" si="0"/>
        <v>124402993633</v>
      </c>
      <c r="J15" s="167"/>
      <c r="K15" s="167">
        <v>255250059</v>
      </c>
      <c r="L15" s="167"/>
      <c r="M15" s="167">
        <v>867190634447</v>
      </c>
      <c r="N15" s="167"/>
      <c r="O15" s="167">
        <v>-632884799646</v>
      </c>
      <c r="P15" s="167"/>
      <c r="Q15" s="167">
        <f t="shared" si="1"/>
        <v>234305834801</v>
      </c>
      <c r="R15" s="79"/>
      <c r="S15" s="82"/>
      <c r="T15" s="86"/>
    </row>
    <row r="16" spans="1:20" ht="60.75" customHeight="1" x14ac:dyDescent="0.75">
      <c r="A16" s="84" t="s">
        <v>15</v>
      </c>
      <c r="B16" s="88"/>
      <c r="C16" s="167">
        <v>165283622</v>
      </c>
      <c r="D16" s="167"/>
      <c r="E16" s="167">
        <v>5314784647473</v>
      </c>
      <c r="F16" s="167"/>
      <c r="G16" s="167">
        <v>-3689237077369</v>
      </c>
      <c r="H16" s="167"/>
      <c r="I16" s="167">
        <f t="shared" si="0"/>
        <v>1625547570104</v>
      </c>
      <c r="J16" s="167"/>
      <c r="K16" s="167">
        <v>165283622</v>
      </c>
      <c r="L16" s="167"/>
      <c r="M16" s="167">
        <v>5314784647473</v>
      </c>
      <c r="N16" s="167"/>
      <c r="O16" s="167">
        <v>-1912407584132</v>
      </c>
      <c r="P16" s="167"/>
      <c r="Q16" s="167">
        <f t="shared" si="1"/>
        <v>3402377063341</v>
      </c>
      <c r="R16" s="79"/>
      <c r="S16" s="82"/>
      <c r="T16" s="86"/>
    </row>
    <row r="17" spans="1:24" ht="60.75" customHeight="1" x14ac:dyDescent="0.75">
      <c r="A17" s="84" t="s">
        <v>17</v>
      </c>
      <c r="B17" s="88"/>
      <c r="C17" s="167">
        <v>60600000</v>
      </c>
      <c r="D17" s="167"/>
      <c r="E17" s="167">
        <v>735124880160</v>
      </c>
      <c r="F17" s="167"/>
      <c r="G17" s="167">
        <v>-603535400036</v>
      </c>
      <c r="H17" s="167"/>
      <c r="I17" s="167">
        <f t="shared" si="0"/>
        <v>131589480124</v>
      </c>
      <c r="J17" s="167"/>
      <c r="K17" s="167">
        <v>60600000</v>
      </c>
      <c r="L17" s="167"/>
      <c r="M17" s="167">
        <v>735124880160</v>
      </c>
      <c r="N17" s="167"/>
      <c r="O17" s="167">
        <v>-272828660272</v>
      </c>
      <c r="P17" s="167"/>
      <c r="Q17" s="167">
        <f t="shared" si="1"/>
        <v>462296219888</v>
      </c>
      <c r="R17" s="79"/>
      <c r="S17" s="82"/>
      <c r="T17" s="86"/>
    </row>
    <row r="18" spans="1:24" ht="60.75" customHeight="1" x14ac:dyDescent="0.75">
      <c r="A18" s="84" t="s">
        <v>21</v>
      </c>
      <c r="B18" s="88"/>
      <c r="C18" s="167">
        <v>1194226811</v>
      </c>
      <c r="D18" s="167"/>
      <c r="E18" s="167">
        <v>12434386049658</v>
      </c>
      <c r="F18" s="167"/>
      <c r="G18" s="167">
        <v>-8838510091026</v>
      </c>
      <c r="H18" s="167"/>
      <c r="I18" s="167">
        <f t="shared" si="0"/>
        <v>3595875958632</v>
      </c>
      <c r="J18" s="167"/>
      <c r="K18" s="167">
        <v>1194226811</v>
      </c>
      <c r="L18" s="167"/>
      <c r="M18" s="167">
        <v>12434386049658</v>
      </c>
      <c r="N18" s="167"/>
      <c r="O18" s="167">
        <v>-3473879033889</v>
      </c>
      <c r="P18" s="167"/>
      <c r="Q18" s="167">
        <f t="shared" si="1"/>
        <v>8960507015769</v>
      </c>
      <c r="R18" s="79"/>
      <c r="S18" s="82"/>
      <c r="T18" s="86"/>
    </row>
    <row r="19" spans="1:24" ht="60.75" customHeight="1" x14ac:dyDescent="0.95">
      <c r="A19" s="84" t="s">
        <v>13</v>
      </c>
      <c r="B19" s="85"/>
      <c r="C19" s="167">
        <v>25559690</v>
      </c>
      <c r="D19" s="167"/>
      <c r="E19" s="167">
        <v>1649134887520</v>
      </c>
      <c r="F19" s="167"/>
      <c r="G19" s="167">
        <v>-1438542308998</v>
      </c>
      <c r="H19" s="167"/>
      <c r="I19" s="167">
        <f t="shared" si="0"/>
        <v>210592578522</v>
      </c>
      <c r="J19" s="167"/>
      <c r="K19" s="167">
        <v>25559690</v>
      </c>
      <c r="L19" s="167"/>
      <c r="M19" s="167">
        <v>1649134887520</v>
      </c>
      <c r="N19" s="167"/>
      <c r="O19" s="167">
        <v>-1514743227578</v>
      </c>
      <c r="P19" s="167"/>
      <c r="Q19" s="167">
        <f t="shared" si="1"/>
        <v>134391659942</v>
      </c>
      <c r="R19" s="79"/>
      <c r="S19" s="82"/>
      <c r="T19" s="86"/>
    </row>
    <row r="20" spans="1:24" ht="60.75" customHeight="1" x14ac:dyDescent="0.95">
      <c r="A20" s="84" t="s">
        <v>12</v>
      </c>
      <c r="B20" s="85"/>
      <c r="C20" s="167">
        <v>519244706</v>
      </c>
      <c r="D20" s="167"/>
      <c r="E20" s="167">
        <v>1442922072545</v>
      </c>
      <c r="F20" s="167"/>
      <c r="G20" s="167">
        <v>-1244338658634</v>
      </c>
      <c r="H20" s="167"/>
      <c r="I20" s="167">
        <f t="shared" si="0"/>
        <v>198583413911</v>
      </c>
      <c r="J20" s="167"/>
      <c r="K20" s="167">
        <v>519244706</v>
      </c>
      <c r="L20" s="167"/>
      <c r="M20" s="167">
        <v>1442922072545</v>
      </c>
      <c r="N20" s="167"/>
      <c r="O20" s="167">
        <v>-1167408774246</v>
      </c>
      <c r="P20" s="167"/>
      <c r="Q20" s="167">
        <f t="shared" si="1"/>
        <v>275513298299</v>
      </c>
      <c r="R20" s="79"/>
      <c r="S20" s="82"/>
      <c r="T20" s="86"/>
      <c r="U20" s="78"/>
      <c r="V20" s="78"/>
    </row>
    <row r="21" spans="1:24" ht="60.75" customHeight="1" x14ac:dyDescent="0.75">
      <c r="A21" s="84" t="s">
        <v>24</v>
      </c>
      <c r="B21" s="88"/>
      <c r="C21" s="167">
        <v>1376128527</v>
      </c>
      <c r="D21" s="167"/>
      <c r="E21" s="167">
        <v>5761596384448</v>
      </c>
      <c r="F21" s="167"/>
      <c r="G21" s="167">
        <v>-5225314143414</v>
      </c>
      <c r="H21" s="167"/>
      <c r="I21" s="167">
        <f>E21+G21</f>
        <v>536282241034</v>
      </c>
      <c r="J21" s="167"/>
      <c r="K21" s="167">
        <v>1376128527</v>
      </c>
      <c r="L21" s="167"/>
      <c r="M21" s="167">
        <v>5761596384448</v>
      </c>
      <c r="N21" s="167"/>
      <c r="O21" s="167">
        <v>-3096183907732</v>
      </c>
      <c r="P21" s="167"/>
      <c r="Q21" s="167">
        <f t="shared" si="1"/>
        <v>2665412476716</v>
      </c>
      <c r="R21" s="79"/>
      <c r="S21" s="82"/>
      <c r="T21" s="86"/>
      <c r="U21" s="78"/>
      <c r="V21" s="78"/>
    </row>
    <row r="22" spans="1:24" ht="60.75" customHeight="1" thickBot="1" x14ac:dyDescent="1">
      <c r="A22" s="84" t="s">
        <v>137</v>
      </c>
      <c r="B22" s="85"/>
      <c r="C22" s="167">
        <v>2809371544</v>
      </c>
      <c r="D22" s="167"/>
      <c r="E22" s="167">
        <v>12885215175265</v>
      </c>
      <c r="F22" s="167"/>
      <c r="G22" s="167">
        <v>-11537275790874</v>
      </c>
      <c r="H22" s="167"/>
      <c r="I22" s="167">
        <f>E22+G22</f>
        <v>1347939384391</v>
      </c>
      <c r="J22" s="167"/>
      <c r="K22" s="167">
        <v>2809371544</v>
      </c>
      <c r="L22" s="167"/>
      <c r="M22" s="167">
        <v>12885215175265</v>
      </c>
      <c r="N22" s="167"/>
      <c r="O22" s="167">
        <v>-8563660385397</v>
      </c>
      <c r="P22" s="167"/>
      <c r="Q22" s="174">
        <f t="shared" si="1"/>
        <v>4321554789868</v>
      </c>
      <c r="R22" s="79"/>
      <c r="S22" s="82"/>
      <c r="T22" s="86"/>
      <c r="U22" s="78"/>
      <c r="V22" s="78"/>
    </row>
    <row r="23" spans="1:24" ht="60.75" customHeight="1" thickBot="1" x14ac:dyDescent="1">
      <c r="A23" s="89"/>
      <c r="B23" s="85"/>
      <c r="C23" s="170"/>
      <c r="D23" s="170"/>
      <c r="E23" s="169">
        <f>SUM(E9:E22)</f>
        <v>44771042771601</v>
      </c>
      <c r="F23" s="170"/>
      <c r="G23" s="169">
        <f>SUM(G9:G22)</f>
        <v>-37182491918872</v>
      </c>
      <c r="H23" s="170"/>
      <c r="I23" s="169">
        <f>SUM(I9:I22)</f>
        <v>7588550852729</v>
      </c>
      <c r="J23" s="170"/>
      <c r="K23" s="170"/>
      <c r="L23" s="170"/>
      <c r="M23" s="169">
        <f>SUM(M9:M22)</f>
        <v>44771042771601</v>
      </c>
      <c r="N23" s="170"/>
      <c r="O23" s="169">
        <f>SUM(O9:O22)</f>
        <v>-23889359118648</v>
      </c>
      <c r="P23" s="170"/>
      <c r="Q23" s="169">
        <f>SUM(Q9:Q22)</f>
        <v>20881683652953</v>
      </c>
      <c r="R23" s="79"/>
      <c r="S23" s="78"/>
      <c r="T23" s="78"/>
      <c r="U23" s="78"/>
      <c r="V23" s="78"/>
      <c r="W23" s="67"/>
      <c r="X23" s="67"/>
    </row>
    <row r="24" spans="1:24" ht="28.5" thickTop="1" x14ac:dyDescent="0.4">
      <c r="S24" s="78"/>
      <c r="T24" s="78"/>
      <c r="U24" s="78"/>
      <c r="V24" s="78"/>
    </row>
    <row r="25" spans="1:24" ht="59.25" customHeight="1" x14ac:dyDescent="0.85">
      <c r="A25" s="222" t="s">
        <v>136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S25" s="102"/>
      <c r="T25" s="78"/>
      <c r="U25" s="78"/>
      <c r="V25" s="78"/>
    </row>
    <row r="26" spans="1:24" ht="44.25" customHeight="1" x14ac:dyDescent="0.4">
      <c r="A26" s="71"/>
      <c r="B26" s="71"/>
      <c r="C26" s="223" t="s">
        <v>102</v>
      </c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T26" s="78"/>
    </row>
    <row r="27" spans="1:24" ht="60.75" customHeight="1" thickBot="1" x14ac:dyDescent="1.05">
      <c r="A27" s="220" t="s">
        <v>59</v>
      </c>
      <c r="B27" s="72"/>
      <c r="C27" s="221" t="str">
        <f>C7</f>
        <v>طی مهر ماه</v>
      </c>
      <c r="D27" s="221"/>
      <c r="E27" s="221"/>
      <c r="F27" s="221"/>
      <c r="G27" s="221"/>
      <c r="H27" s="221"/>
      <c r="I27" s="221"/>
      <c r="J27" s="72"/>
      <c r="K27" s="221" t="str">
        <f>K7</f>
        <v>از ابتدای سال مالی تا پایان مهر ماه</v>
      </c>
      <c r="L27" s="221"/>
      <c r="M27" s="221"/>
      <c r="N27" s="221"/>
      <c r="O27" s="221"/>
      <c r="P27" s="221"/>
      <c r="Q27" s="221"/>
    </row>
    <row r="28" spans="1:24" ht="69" customHeight="1" thickBot="1" x14ac:dyDescent="1.05">
      <c r="A28" s="221"/>
      <c r="B28" s="72"/>
      <c r="C28" s="74" t="s">
        <v>6</v>
      </c>
      <c r="D28" s="72"/>
      <c r="E28" s="74" t="s">
        <v>8</v>
      </c>
      <c r="F28" s="72"/>
      <c r="G28" s="74" t="s">
        <v>92</v>
      </c>
      <c r="H28" s="72"/>
      <c r="I28" s="74" t="s">
        <v>98</v>
      </c>
      <c r="J28" s="72"/>
      <c r="K28" s="74" t="s">
        <v>6</v>
      </c>
      <c r="L28" s="72"/>
      <c r="M28" s="74" t="s">
        <v>8</v>
      </c>
      <c r="N28" s="72"/>
      <c r="O28" s="74" t="s">
        <v>92</v>
      </c>
      <c r="P28" s="72"/>
      <c r="Q28" s="74" t="s">
        <v>98</v>
      </c>
    </row>
    <row r="29" spans="1:24" ht="60.75" customHeight="1" x14ac:dyDescent="0.95">
      <c r="A29" s="84" t="s">
        <v>40</v>
      </c>
      <c r="B29" s="85"/>
      <c r="C29" s="167">
        <v>81605712</v>
      </c>
      <c r="D29" s="167"/>
      <c r="E29" s="167">
        <v>2991785859601</v>
      </c>
      <c r="F29" s="167"/>
      <c r="G29" s="167">
        <v>-2947012512743</v>
      </c>
      <c r="H29" s="167"/>
      <c r="I29" s="171">
        <f>E29+G29</f>
        <v>44773346858</v>
      </c>
      <c r="J29" s="167"/>
      <c r="K29" s="167">
        <v>81605712</v>
      </c>
      <c r="L29" s="167"/>
      <c r="M29" s="167">
        <v>2991785859601</v>
      </c>
      <c r="N29" s="167"/>
      <c r="O29" s="167">
        <v>-2920718496773</v>
      </c>
      <c r="P29" s="167"/>
      <c r="Q29" s="167">
        <f>M29+O29</f>
        <v>71067362828</v>
      </c>
      <c r="S29" s="82"/>
      <c r="T29" s="78"/>
      <c r="U29" s="78"/>
    </row>
    <row r="30" spans="1:24" ht="60.75" customHeight="1" x14ac:dyDescent="0.95">
      <c r="A30" s="84" t="s">
        <v>39</v>
      </c>
      <c r="B30" s="85"/>
      <c r="C30" s="167">
        <v>6460000</v>
      </c>
      <c r="D30" s="167"/>
      <c r="E30" s="167">
        <v>312064383809</v>
      </c>
      <c r="F30" s="167"/>
      <c r="G30" s="167">
        <v>-303766344841</v>
      </c>
      <c r="H30" s="167"/>
      <c r="I30" s="171">
        <f t="shared" ref="I30:I38" si="2">E30+G30</f>
        <v>8298038968</v>
      </c>
      <c r="J30" s="167"/>
      <c r="K30" s="167">
        <v>6460000</v>
      </c>
      <c r="L30" s="167"/>
      <c r="M30" s="167">
        <v>312064383809</v>
      </c>
      <c r="N30" s="167"/>
      <c r="O30" s="167">
        <v>-250000218413</v>
      </c>
      <c r="P30" s="167"/>
      <c r="Q30" s="167">
        <f t="shared" ref="Q30:Q36" si="3">M30+O30</f>
        <v>62064165396</v>
      </c>
      <c r="S30" s="82"/>
      <c r="T30" s="78"/>
      <c r="U30" s="78"/>
    </row>
    <row r="31" spans="1:24" ht="60.75" customHeight="1" x14ac:dyDescent="0.95">
      <c r="A31" s="84" t="s">
        <v>178</v>
      </c>
      <c r="B31" s="85"/>
      <c r="C31" s="167">
        <v>1000000</v>
      </c>
      <c r="D31" s="167"/>
      <c r="E31" s="167">
        <v>22383742950</v>
      </c>
      <c r="F31" s="167"/>
      <c r="G31" s="167">
        <v>-21752975631</v>
      </c>
      <c r="H31" s="167"/>
      <c r="I31" s="171">
        <f t="shared" si="2"/>
        <v>630767319</v>
      </c>
      <c r="J31" s="167"/>
      <c r="K31" s="167">
        <v>1000000</v>
      </c>
      <c r="L31" s="167"/>
      <c r="M31" s="167">
        <v>22383742950</v>
      </c>
      <c r="N31" s="167"/>
      <c r="O31" s="167">
        <v>-20081402283</v>
      </c>
      <c r="P31" s="167"/>
      <c r="Q31" s="167">
        <f t="shared" si="3"/>
        <v>2302340667</v>
      </c>
      <c r="S31" s="82"/>
      <c r="T31" s="78"/>
      <c r="U31" s="78"/>
    </row>
    <row r="32" spans="1:24" ht="60.75" customHeight="1" x14ac:dyDescent="0.95">
      <c r="A32" s="84" t="s">
        <v>42</v>
      </c>
      <c r="B32" s="85"/>
      <c r="C32" s="167">
        <v>16800000</v>
      </c>
      <c r="D32" s="167"/>
      <c r="E32" s="167">
        <v>330384525765</v>
      </c>
      <c r="F32" s="167"/>
      <c r="G32" s="167">
        <v>-321097551601</v>
      </c>
      <c r="H32" s="167"/>
      <c r="I32" s="171">
        <f t="shared" si="2"/>
        <v>9286974164</v>
      </c>
      <c r="J32" s="167"/>
      <c r="K32" s="167">
        <v>16800000</v>
      </c>
      <c r="L32" s="167"/>
      <c r="M32" s="167">
        <v>330384525765</v>
      </c>
      <c r="N32" s="167"/>
      <c r="O32" s="167">
        <v>-300970141829</v>
      </c>
      <c r="P32" s="167"/>
      <c r="Q32" s="167">
        <f t="shared" si="3"/>
        <v>29414383936</v>
      </c>
      <c r="S32" s="82"/>
      <c r="T32" s="78"/>
      <c r="U32" s="78"/>
    </row>
    <row r="33" spans="1:24" ht="60.75" customHeight="1" x14ac:dyDescent="0.95">
      <c r="A33" s="84" t="s">
        <v>69</v>
      </c>
      <c r="B33" s="85"/>
      <c r="C33" s="167">
        <v>58950000</v>
      </c>
      <c r="D33" s="167"/>
      <c r="E33" s="167">
        <v>1114510222752</v>
      </c>
      <c r="F33" s="167"/>
      <c r="G33" s="167">
        <v>-1086564737879</v>
      </c>
      <c r="H33" s="167"/>
      <c r="I33" s="171">
        <f t="shared" si="2"/>
        <v>27945484873</v>
      </c>
      <c r="J33" s="167"/>
      <c r="K33" s="167">
        <v>58950000</v>
      </c>
      <c r="L33" s="167"/>
      <c r="M33" s="167">
        <v>1114510222752</v>
      </c>
      <c r="N33" s="167"/>
      <c r="O33" s="167">
        <v>-978044297766</v>
      </c>
      <c r="P33" s="167"/>
      <c r="Q33" s="167">
        <f t="shared" si="3"/>
        <v>136465924986</v>
      </c>
      <c r="S33" s="82"/>
      <c r="T33" s="78"/>
      <c r="U33" s="78"/>
    </row>
    <row r="34" spans="1:24" ht="60.75" customHeight="1" x14ac:dyDescent="0.95">
      <c r="A34" s="84" t="s">
        <v>173</v>
      </c>
      <c r="B34" s="85"/>
      <c r="C34" s="167">
        <v>2000000</v>
      </c>
      <c r="D34" s="167"/>
      <c r="E34" s="167">
        <v>22533687637</v>
      </c>
      <c r="F34" s="167"/>
      <c r="G34" s="167">
        <v>-21907918475</v>
      </c>
      <c r="H34" s="167"/>
      <c r="I34" s="171">
        <f t="shared" si="2"/>
        <v>625769162</v>
      </c>
      <c r="J34" s="167"/>
      <c r="K34" s="167">
        <v>2000000</v>
      </c>
      <c r="L34" s="167"/>
      <c r="M34" s="167">
        <v>22533687637</v>
      </c>
      <c r="N34" s="167"/>
      <c r="O34" s="167">
        <v>-20000000000</v>
      </c>
      <c r="P34" s="167"/>
      <c r="Q34" s="167">
        <f t="shared" si="3"/>
        <v>2533687637</v>
      </c>
      <c r="S34" s="82"/>
      <c r="T34" s="78"/>
      <c r="U34" s="78"/>
    </row>
    <row r="35" spans="1:24" ht="60.75" customHeight="1" x14ac:dyDescent="0.95">
      <c r="A35" s="84" t="s">
        <v>180</v>
      </c>
      <c r="B35" s="85"/>
      <c r="C35" s="167">
        <v>246250000</v>
      </c>
      <c r="D35" s="167"/>
      <c r="E35" s="167">
        <v>2617903042148</v>
      </c>
      <c r="F35" s="167"/>
      <c r="G35" s="167">
        <v>-2610788166571</v>
      </c>
      <c r="H35" s="167"/>
      <c r="I35" s="171">
        <f t="shared" si="2"/>
        <v>7114875577</v>
      </c>
      <c r="J35" s="167"/>
      <c r="K35" s="167">
        <v>246250000</v>
      </c>
      <c r="L35" s="167"/>
      <c r="M35" s="167">
        <v>2617903042148</v>
      </c>
      <c r="N35" s="167"/>
      <c r="O35" s="167">
        <v>-2606906942087</v>
      </c>
      <c r="P35" s="167"/>
      <c r="Q35" s="167">
        <f t="shared" si="3"/>
        <v>10996100061</v>
      </c>
      <c r="S35" s="82"/>
      <c r="T35" s="78"/>
      <c r="U35" s="78"/>
    </row>
    <row r="36" spans="1:24" ht="60.75" customHeight="1" x14ac:dyDescent="0.95">
      <c r="A36" s="84" t="s">
        <v>189</v>
      </c>
      <c r="B36" s="85"/>
      <c r="C36" s="167">
        <v>12000000</v>
      </c>
      <c r="D36" s="167"/>
      <c r="E36" s="167">
        <v>119955750000</v>
      </c>
      <c r="F36" s="167"/>
      <c r="G36" s="167">
        <v>-120044250000</v>
      </c>
      <c r="H36" s="167"/>
      <c r="I36" s="171">
        <f t="shared" si="2"/>
        <v>-88500000</v>
      </c>
      <c r="J36" s="167"/>
      <c r="K36" s="167">
        <v>12000000</v>
      </c>
      <c r="L36" s="167"/>
      <c r="M36" s="167">
        <v>119955750000</v>
      </c>
      <c r="N36" s="167"/>
      <c r="O36" s="167">
        <v>-120044250000</v>
      </c>
      <c r="P36" s="167"/>
      <c r="Q36" s="167">
        <f t="shared" si="3"/>
        <v>-88500000</v>
      </c>
      <c r="S36" s="82"/>
      <c r="T36" s="78"/>
      <c r="U36" s="78"/>
    </row>
    <row r="37" spans="1:24" ht="60.75" customHeight="1" x14ac:dyDescent="0.95">
      <c r="A37" s="84" t="s">
        <v>174</v>
      </c>
      <c r="B37" s="85"/>
      <c r="C37" s="167">
        <v>2000000</v>
      </c>
      <c r="D37" s="167"/>
      <c r="E37" s="167">
        <v>22039869810</v>
      </c>
      <c r="F37" s="167"/>
      <c r="G37" s="167">
        <v>-23968402960</v>
      </c>
      <c r="H37" s="167"/>
      <c r="I37" s="171">
        <f t="shared" si="2"/>
        <v>-1928533150</v>
      </c>
      <c r="J37" s="167"/>
      <c r="K37" s="167">
        <v>0</v>
      </c>
      <c r="L37" s="167"/>
      <c r="M37" s="167">
        <v>0</v>
      </c>
      <c r="N37" s="167"/>
      <c r="O37" s="167">
        <v>0</v>
      </c>
      <c r="P37" s="167"/>
      <c r="Q37" s="167">
        <v>0</v>
      </c>
      <c r="S37" s="82"/>
      <c r="T37" s="78"/>
      <c r="U37" s="78"/>
    </row>
    <row r="38" spans="1:24" ht="60.75" customHeight="1" thickBot="1" x14ac:dyDescent="1">
      <c r="A38" s="84" t="s">
        <v>184</v>
      </c>
      <c r="B38" s="85"/>
      <c r="C38" s="167">
        <v>52500000</v>
      </c>
      <c r="D38" s="167"/>
      <c r="E38" s="167">
        <v>1578609555313</v>
      </c>
      <c r="F38" s="167"/>
      <c r="G38" s="167">
        <v>-1620008962627</v>
      </c>
      <c r="H38" s="167"/>
      <c r="I38" s="171">
        <f t="shared" si="2"/>
        <v>-41399407314</v>
      </c>
      <c r="J38" s="167"/>
      <c r="K38" s="167">
        <v>0</v>
      </c>
      <c r="L38" s="167"/>
      <c r="M38" s="167">
        <v>0</v>
      </c>
      <c r="N38" s="167"/>
      <c r="O38" s="167">
        <v>0</v>
      </c>
      <c r="P38" s="167"/>
      <c r="Q38" s="167">
        <v>0</v>
      </c>
      <c r="S38" s="82"/>
      <c r="T38" s="78"/>
      <c r="U38" s="78"/>
    </row>
    <row r="39" spans="1:24" ht="60.75" customHeight="1" thickBot="1" x14ac:dyDescent="1">
      <c r="A39" s="87"/>
      <c r="B39" s="85"/>
      <c r="C39" s="170"/>
      <c r="D39" s="170"/>
      <c r="E39" s="169">
        <f>SUM(E29:E38)</f>
        <v>9132170639785</v>
      </c>
      <c r="F39" s="170"/>
      <c r="G39" s="169">
        <f>SUM(G23)</f>
        <v>-37182491918872</v>
      </c>
      <c r="H39" s="170"/>
      <c r="I39" s="172">
        <f>SUM(I29:I38)</f>
        <v>55258816457</v>
      </c>
      <c r="J39" s="170"/>
      <c r="K39" s="170"/>
      <c r="L39" s="170"/>
      <c r="M39" s="169">
        <f>SUM(M29:M38)</f>
        <v>7531521214662</v>
      </c>
      <c r="N39" s="170"/>
      <c r="O39" s="169">
        <f>SUM(O29:O38)</f>
        <v>-7216765749151</v>
      </c>
      <c r="P39" s="170"/>
      <c r="Q39" s="169">
        <f>SUM(Q29:Q38)</f>
        <v>314755465511</v>
      </c>
      <c r="S39" s="86"/>
      <c r="T39" s="78"/>
      <c r="U39" s="67"/>
      <c r="V39" s="67"/>
      <c r="W39" s="67"/>
      <c r="X39" s="67"/>
    </row>
    <row r="40" spans="1:24" ht="28.5" thickTop="1" x14ac:dyDescent="0.4">
      <c r="S40" s="78"/>
      <c r="T40" s="78"/>
      <c r="U40" s="78"/>
    </row>
    <row r="41" spans="1:24" ht="60" customHeight="1" x14ac:dyDescent="0.4">
      <c r="A41" s="222" t="s">
        <v>154</v>
      </c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S41" s="78"/>
      <c r="T41" s="78"/>
      <c r="U41" s="78"/>
    </row>
    <row r="42" spans="1:24" ht="58.5" customHeight="1" x14ac:dyDescent="0.4">
      <c r="A42" s="71"/>
      <c r="B42" s="71"/>
      <c r="C42" s="223" t="s">
        <v>102</v>
      </c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S42" s="78"/>
      <c r="T42" s="78"/>
      <c r="U42" s="78"/>
    </row>
    <row r="43" spans="1:24" ht="45.75" customHeight="1" thickBot="1" x14ac:dyDescent="1.05">
      <c r="A43" s="220" t="s">
        <v>59</v>
      </c>
      <c r="B43" s="72"/>
      <c r="C43" s="221" t="str">
        <f>C7</f>
        <v>طی مهر ماه</v>
      </c>
      <c r="D43" s="221"/>
      <c r="E43" s="221"/>
      <c r="F43" s="221"/>
      <c r="G43" s="221"/>
      <c r="H43" s="221"/>
      <c r="I43" s="221"/>
      <c r="J43" s="72"/>
      <c r="K43" s="221" t="str">
        <f>K7</f>
        <v>از ابتدای سال مالی تا پایان مهر ماه</v>
      </c>
      <c r="L43" s="221"/>
      <c r="M43" s="221"/>
      <c r="N43" s="221"/>
      <c r="O43" s="221"/>
      <c r="P43" s="221"/>
      <c r="Q43" s="221"/>
      <c r="S43" s="78"/>
      <c r="T43" s="78"/>
      <c r="U43" s="78"/>
    </row>
    <row r="44" spans="1:24" ht="45.75" customHeight="1" thickBot="1" x14ac:dyDescent="1.05">
      <c r="A44" s="221"/>
      <c r="B44" s="72"/>
      <c r="C44" s="74" t="s">
        <v>6</v>
      </c>
      <c r="D44" s="72"/>
      <c r="E44" s="74" t="s">
        <v>8</v>
      </c>
      <c r="F44" s="72"/>
      <c r="G44" s="74" t="s">
        <v>92</v>
      </c>
      <c r="H44" s="72"/>
      <c r="I44" s="74" t="s">
        <v>98</v>
      </c>
      <c r="J44" s="72"/>
      <c r="K44" s="74" t="s">
        <v>6</v>
      </c>
      <c r="L44" s="72"/>
      <c r="M44" s="74" t="s">
        <v>8</v>
      </c>
      <c r="N44" s="72"/>
      <c r="O44" s="74" t="s">
        <v>92</v>
      </c>
      <c r="P44" s="72"/>
      <c r="Q44" s="74" t="s">
        <v>98</v>
      </c>
      <c r="S44" s="78"/>
      <c r="T44" s="78"/>
      <c r="U44" s="78"/>
    </row>
    <row r="45" spans="1:24" ht="60.75" customHeight="1" thickBot="1" x14ac:dyDescent="1">
      <c r="A45" s="84" t="s">
        <v>50</v>
      </c>
      <c r="B45" s="85"/>
      <c r="C45" s="124">
        <v>894000</v>
      </c>
      <c r="D45" s="122"/>
      <c r="E45" s="166">
        <v>893351850000</v>
      </c>
      <c r="F45" s="167"/>
      <c r="G45" s="166">
        <v>-892350158570</v>
      </c>
      <c r="H45" s="167"/>
      <c r="I45" s="166">
        <f>E45+G45</f>
        <v>1001691430</v>
      </c>
      <c r="J45" s="167"/>
      <c r="K45" s="168">
        <v>894000</v>
      </c>
      <c r="L45" s="167"/>
      <c r="M45" s="166">
        <v>893351850000</v>
      </c>
      <c r="N45" s="167"/>
      <c r="O45" s="166">
        <v>-893943488945</v>
      </c>
      <c r="P45" s="167"/>
      <c r="Q45" s="166">
        <f>M45+O45</f>
        <v>-591638945</v>
      </c>
      <c r="S45" s="82"/>
      <c r="U45" s="78"/>
    </row>
    <row r="46" spans="1:24" ht="60.75" customHeight="1" thickBot="1" x14ac:dyDescent="1">
      <c r="A46" s="84"/>
      <c r="B46" s="85"/>
      <c r="C46" s="123"/>
      <c r="D46" s="123"/>
      <c r="E46" s="169">
        <f>SUM(E45)</f>
        <v>893351850000</v>
      </c>
      <c r="F46" s="170"/>
      <c r="G46" s="169">
        <f>SUM(G45)</f>
        <v>-892350158570</v>
      </c>
      <c r="H46" s="170"/>
      <c r="I46" s="169">
        <f>SUM(I45)</f>
        <v>1001691430</v>
      </c>
      <c r="J46" s="170"/>
      <c r="K46" s="170"/>
      <c r="L46" s="170"/>
      <c r="M46" s="169">
        <f>SUM(M45)</f>
        <v>893351850000</v>
      </c>
      <c r="N46" s="170"/>
      <c r="O46" s="169">
        <f>SUM(O45)</f>
        <v>-893943488945</v>
      </c>
      <c r="P46" s="170"/>
      <c r="Q46" s="169">
        <f>SUM(Q45)</f>
        <v>-591638945</v>
      </c>
      <c r="S46" s="78"/>
      <c r="T46" s="78"/>
      <c r="U46" s="78"/>
      <c r="V46" s="67"/>
      <c r="W46" s="78"/>
      <c r="X46" s="78"/>
    </row>
    <row r="47" spans="1:24" ht="41.25" customHeight="1" thickTop="1" x14ac:dyDescent="0.75">
      <c r="A47" s="81"/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S47" s="78"/>
      <c r="T47" s="78"/>
      <c r="U47" s="78"/>
    </row>
    <row r="48" spans="1:24" ht="40.5" hidden="1" x14ac:dyDescent="0.4">
      <c r="Q48" s="86">
        <f>Q46+Q39+Q23</f>
        <v>21195847479519</v>
      </c>
      <c r="S48" s="78"/>
      <c r="T48" s="78"/>
      <c r="U48" s="78"/>
    </row>
    <row r="49" spans="9:21" ht="40.5" hidden="1" x14ac:dyDescent="0.4">
      <c r="Q49" s="86">
        <v>8577355495059</v>
      </c>
      <c r="S49" s="78"/>
      <c r="T49" s="78"/>
      <c r="U49" s="78"/>
    </row>
    <row r="50" spans="9:21" ht="40.5" hidden="1" x14ac:dyDescent="0.4">
      <c r="Q50" s="86">
        <f>Q49-Q48</f>
        <v>-12618491984460</v>
      </c>
      <c r="S50" s="78"/>
      <c r="T50" s="78"/>
      <c r="U50" s="78"/>
    </row>
    <row r="51" spans="9:21" ht="40.5" x14ac:dyDescent="0.4">
      <c r="Q51" s="86"/>
      <c r="S51" s="78"/>
      <c r="T51" s="78"/>
      <c r="U51" s="78"/>
    </row>
    <row r="53" spans="9:21" ht="40.5" x14ac:dyDescent="0.4">
      <c r="Q53" s="86"/>
    </row>
    <row r="54" spans="9:21" ht="40.5" x14ac:dyDescent="0.4">
      <c r="Q54" s="86"/>
    </row>
    <row r="55" spans="9:21" ht="40.5" x14ac:dyDescent="0.4">
      <c r="Q55" s="86"/>
    </row>
    <row r="56" spans="9:21" ht="40.5" x14ac:dyDescent="0.4">
      <c r="Q56" s="86"/>
    </row>
    <row r="57" spans="9:21" ht="40.5" x14ac:dyDescent="0.4">
      <c r="Q57" s="86"/>
    </row>
    <row r="58" spans="9:21" ht="40.5" x14ac:dyDescent="0.4">
      <c r="I58" s="110"/>
      <c r="Q58" s="86"/>
    </row>
    <row r="59" spans="9:21" ht="40.5" x14ac:dyDescent="0.4">
      <c r="I59" s="110"/>
      <c r="Q59" s="86"/>
    </row>
    <row r="60" spans="9:21" ht="40.5" x14ac:dyDescent="0.4">
      <c r="I60" s="110"/>
      <c r="Q60" s="86"/>
    </row>
    <row r="61" spans="9:21" ht="40.5" x14ac:dyDescent="0.4">
      <c r="Q61" s="86"/>
    </row>
    <row r="62" spans="9:21" ht="40.5" x14ac:dyDescent="0.4">
      <c r="Q62" s="86"/>
    </row>
    <row r="63" spans="9:21" ht="40.5" x14ac:dyDescent="0.4">
      <c r="Q63" s="86"/>
    </row>
    <row r="64" spans="9:21" ht="40.5" x14ac:dyDescent="0.4">
      <c r="Q64" s="86"/>
    </row>
    <row r="65" spans="17:17" ht="40.5" x14ac:dyDescent="0.4">
      <c r="Q65" s="86"/>
    </row>
  </sheetData>
  <sortState xmlns:xlrd2="http://schemas.microsoft.com/office/spreadsheetml/2017/richdata2" ref="A29:Q36">
    <sortCondition descending="1" ref="Q29:Q36"/>
  </sortState>
  <mergeCells count="18">
    <mergeCell ref="A27:A28"/>
    <mergeCell ref="C27:I27"/>
    <mergeCell ref="K27:Q27"/>
    <mergeCell ref="A25:Q25"/>
    <mergeCell ref="C26:Q26"/>
    <mergeCell ref="A1:Q1"/>
    <mergeCell ref="A7:A8"/>
    <mergeCell ref="C7:I7"/>
    <mergeCell ref="A2:Q2"/>
    <mergeCell ref="A3:Q3"/>
    <mergeCell ref="A5:Q5"/>
    <mergeCell ref="K7:Q7"/>
    <mergeCell ref="C6:Q6"/>
    <mergeCell ref="A43:A44"/>
    <mergeCell ref="C43:I43"/>
    <mergeCell ref="K43:Q43"/>
    <mergeCell ref="A41:Q41"/>
    <mergeCell ref="C42:Q42"/>
  </mergeCells>
  <pageMargins left="0.39" right="0.39" top="0.39" bottom="0.39" header="0" footer="0"/>
  <pageSetup paperSize="9" scale="2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rightToLeft="1" view="pageBreakPreview" topLeftCell="A46" zoomScale="50" zoomScaleNormal="100" zoomScaleSheetLayoutView="50" workbookViewId="0">
      <selection activeCell="Q69" sqref="Q69"/>
    </sheetView>
  </sheetViews>
  <sheetFormatPr defaultColWidth="9.140625" defaultRowHeight="36.75" x14ac:dyDescent="0.4"/>
  <cols>
    <col min="1" max="1" width="69.5703125" style="68" bestFit="1" customWidth="1"/>
    <col min="2" max="2" width="1.28515625" style="68" customWidth="1"/>
    <col min="3" max="3" width="28.85546875" style="68" bestFit="1" customWidth="1"/>
    <col min="4" max="4" width="1.28515625" style="68" customWidth="1"/>
    <col min="5" max="5" width="42.140625" style="68" bestFit="1" customWidth="1"/>
    <col min="6" max="6" width="1.28515625" style="68" customWidth="1"/>
    <col min="7" max="7" width="43.7109375" style="68" bestFit="1" customWidth="1"/>
    <col min="8" max="8" width="1.28515625" style="68" customWidth="1"/>
    <col min="9" max="9" width="51.5703125" style="68" bestFit="1" customWidth="1"/>
    <col min="10" max="10" width="1.28515625" style="68" customWidth="1"/>
    <col min="11" max="11" width="31.42578125" style="68" bestFit="1" customWidth="1"/>
    <col min="12" max="12" width="1.28515625" style="68" customWidth="1"/>
    <col min="13" max="13" width="44.7109375" style="68" bestFit="1" customWidth="1"/>
    <col min="14" max="14" width="1.28515625" style="68" customWidth="1"/>
    <col min="15" max="15" width="44.28515625" style="68" bestFit="1" customWidth="1"/>
    <col min="16" max="16" width="1.28515625" style="68" customWidth="1"/>
    <col min="17" max="17" width="51.5703125" style="68" bestFit="1" customWidth="1"/>
    <col min="18" max="18" width="1.28515625" style="68" customWidth="1"/>
    <col min="19" max="19" width="41.85546875" style="68" bestFit="1" customWidth="1"/>
    <col min="20" max="20" width="39" style="103" bestFit="1" customWidth="1"/>
    <col min="21" max="21" width="32.5703125" style="68" bestFit="1" customWidth="1"/>
    <col min="22" max="22" width="35.7109375" style="68" bestFit="1" customWidth="1"/>
    <col min="23" max="16384" width="9.140625" style="68"/>
  </cols>
  <sheetData>
    <row r="1" spans="1:19" ht="57.75" customHeight="1" x14ac:dyDescent="0.4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9" ht="57.75" customHeight="1" x14ac:dyDescent="0.4">
      <c r="A2" s="224" t="s">
        <v>58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69"/>
    </row>
    <row r="3" spans="1:19" ht="57.75" customHeight="1" x14ac:dyDescent="0.4">
      <c r="A3" s="224" t="str">
        <f>درآمد!A3</f>
        <v>دوره یک ماهه منتهی به 30 مهر 1405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69"/>
    </row>
    <row r="4" spans="1:19" ht="57.75" customHeight="1" x14ac:dyDescent="0.4"/>
    <row r="5" spans="1:19" ht="57.75" customHeight="1" x14ac:dyDescent="0.4">
      <c r="A5" s="222" t="s">
        <v>134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70"/>
    </row>
    <row r="6" spans="1:19" ht="57.75" customHeight="1" x14ac:dyDescent="0.4">
      <c r="A6" s="100"/>
      <c r="B6" s="100"/>
      <c r="C6" s="223" t="s">
        <v>102</v>
      </c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70"/>
    </row>
    <row r="7" spans="1:19" ht="57.75" customHeight="1" thickBot="1" x14ac:dyDescent="1.05">
      <c r="A7" s="220" t="s">
        <v>59</v>
      </c>
      <c r="B7" s="72"/>
      <c r="C7" s="221" t="str">
        <f>'درآمد سرمایه گذاری در سهام'!C7</f>
        <v>طی مهر ماه</v>
      </c>
      <c r="D7" s="221"/>
      <c r="E7" s="221"/>
      <c r="F7" s="221"/>
      <c r="G7" s="221"/>
      <c r="H7" s="221"/>
      <c r="I7" s="221"/>
      <c r="J7" s="72"/>
      <c r="K7" s="221" t="str">
        <f>'درآمد سرمایه گذاری در سهام'!M7</f>
        <v>از ابتدای سال مالی تا پایان مهر ماه</v>
      </c>
      <c r="L7" s="221"/>
      <c r="M7" s="221"/>
      <c r="N7" s="221"/>
      <c r="O7" s="221"/>
      <c r="P7" s="221"/>
      <c r="Q7" s="221"/>
      <c r="R7" s="73"/>
    </row>
    <row r="8" spans="1:19" ht="57.75" customHeight="1" thickBot="1" x14ac:dyDescent="1.05">
      <c r="A8" s="221"/>
      <c r="B8" s="72"/>
      <c r="C8" s="74" t="s">
        <v>6</v>
      </c>
      <c r="D8" s="72"/>
      <c r="E8" s="74" t="s">
        <v>91</v>
      </c>
      <c r="F8" s="72"/>
      <c r="G8" s="74" t="s">
        <v>92</v>
      </c>
      <c r="H8" s="72"/>
      <c r="I8" s="74" t="s">
        <v>93</v>
      </c>
      <c r="J8" s="72"/>
      <c r="K8" s="74" t="s">
        <v>6</v>
      </c>
      <c r="L8" s="72"/>
      <c r="M8" s="74" t="s">
        <v>91</v>
      </c>
      <c r="N8" s="72"/>
      <c r="O8" s="74" t="s">
        <v>92</v>
      </c>
      <c r="P8" s="72"/>
      <c r="Q8" s="74" t="s">
        <v>93</v>
      </c>
      <c r="R8" s="75"/>
    </row>
    <row r="9" spans="1:19" ht="57.75" customHeight="1" x14ac:dyDescent="0.85">
      <c r="A9" s="101" t="s">
        <v>25</v>
      </c>
      <c r="B9" s="102"/>
      <c r="C9" s="175">
        <v>36415298</v>
      </c>
      <c r="D9" s="175"/>
      <c r="E9" s="175">
        <v>781837709783</v>
      </c>
      <c r="F9" s="175"/>
      <c r="G9" s="175">
        <v>-642331846458</v>
      </c>
      <c r="H9" s="175"/>
      <c r="I9" s="175">
        <f>E9+G9</f>
        <v>139505863325</v>
      </c>
      <c r="J9" s="175"/>
      <c r="K9" s="175">
        <v>228030040</v>
      </c>
      <c r="L9" s="175"/>
      <c r="M9" s="175">
        <v>3927231376154</v>
      </c>
      <c r="N9" s="175"/>
      <c r="O9" s="175">
        <v>-3494242287649</v>
      </c>
      <c r="P9" s="175"/>
      <c r="Q9" s="175">
        <f>M9+O9</f>
        <v>432989088505</v>
      </c>
      <c r="R9" s="65"/>
      <c r="S9" s="103"/>
    </row>
    <row r="10" spans="1:19" ht="57.75" customHeight="1" x14ac:dyDescent="0.85">
      <c r="A10" s="101" t="s">
        <v>18</v>
      </c>
      <c r="B10" s="102"/>
      <c r="C10" s="175">
        <v>207000000</v>
      </c>
      <c r="D10" s="175"/>
      <c r="E10" s="175">
        <v>171589493205</v>
      </c>
      <c r="F10" s="175"/>
      <c r="G10" s="175">
        <v>-131166774275</v>
      </c>
      <c r="H10" s="175"/>
      <c r="I10" s="175">
        <f t="shared" ref="I10:I19" si="0">E10+G10</f>
        <v>40422718930</v>
      </c>
      <c r="J10" s="175"/>
      <c r="K10" s="175">
        <v>776052063</v>
      </c>
      <c r="L10" s="175"/>
      <c r="M10" s="175">
        <v>526756796360</v>
      </c>
      <c r="N10" s="175"/>
      <c r="O10" s="175">
        <v>-416279666682</v>
      </c>
      <c r="P10" s="175"/>
      <c r="Q10" s="175">
        <f t="shared" ref="Q10:Q26" si="1">M10+O10</f>
        <v>110477129678</v>
      </c>
      <c r="R10" s="65"/>
      <c r="S10" s="103"/>
    </row>
    <row r="11" spans="1:19" ht="57.75" customHeight="1" x14ac:dyDescent="0.85">
      <c r="A11" s="101" t="s">
        <v>14</v>
      </c>
      <c r="B11" s="102"/>
      <c r="C11" s="175">
        <v>2051887</v>
      </c>
      <c r="D11" s="175"/>
      <c r="E11" s="175">
        <v>45448875355</v>
      </c>
      <c r="F11" s="175"/>
      <c r="G11" s="175">
        <v>-24633796860</v>
      </c>
      <c r="H11" s="175"/>
      <c r="I11" s="175">
        <f t="shared" si="0"/>
        <v>20815078495</v>
      </c>
      <c r="J11" s="175"/>
      <c r="K11" s="175">
        <v>17567917</v>
      </c>
      <c r="L11" s="175"/>
      <c r="M11" s="175">
        <v>277527945417</v>
      </c>
      <c r="N11" s="175"/>
      <c r="O11" s="175">
        <v>-164797774729</v>
      </c>
      <c r="P11" s="175"/>
      <c r="Q11" s="175">
        <f t="shared" si="1"/>
        <v>112730170688</v>
      </c>
      <c r="R11" s="65"/>
      <c r="S11" s="103"/>
    </row>
    <row r="12" spans="1:19" ht="57.75" customHeight="1" x14ac:dyDescent="0.85">
      <c r="A12" s="101" t="s">
        <v>20</v>
      </c>
      <c r="B12" s="102"/>
      <c r="C12" s="175">
        <v>4470546</v>
      </c>
      <c r="D12" s="175"/>
      <c r="E12" s="175">
        <v>123253707293</v>
      </c>
      <c r="F12" s="175"/>
      <c r="G12" s="175">
        <v>-88724918445</v>
      </c>
      <c r="H12" s="175"/>
      <c r="I12" s="175">
        <f t="shared" si="0"/>
        <v>34528788848</v>
      </c>
      <c r="J12" s="175"/>
      <c r="K12" s="175">
        <v>8898468</v>
      </c>
      <c r="L12" s="175"/>
      <c r="M12" s="175">
        <v>228421363496</v>
      </c>
      <c r="N12" s="175"/>
      <c r="O12" s="175">
        <v>-159940973052</v>
      </c>
      <c r="P12" s="175"/>
      <c r="Q12" s="175">
        <f t="shared" si="1"/>
        <v>68480390444</v>
      </c>
      <c r="R12" s="65"/>
      <c r="S12" s="103"/>
    </row>
    <row r="13" spans="1:19" ht="57.75" customHeight="1" x14ac:dyDescent="0.85">
      <c r="A13" s="101" t="s">
        <v>28</v>
      </c>
      <c r="B13" s="102"/>
      <c r="C13" s="175">
        <v>8500000</v>
      </c>
      <c r="D13" s="175"/>
      <c r="E13" s="175">
        <v>28174970936</v>
      </c>
      <c r="F13" s="175"/>
      <c r="G13" s="175">
        <v>-20692689500</v>
      </c>
      <c r="H13" s="175"/>
      <c r="I13" s="175">
        <f t="shared" si="0"/>
        <v>7482281436</v>
      </c>
      <c r="J13" s="175"/>
      <c r="K13" s="175">
        <v>66399336</v>
      </c>
      <c r="L13" s="175"/>
      <c r="M13" s="175">
        <v>170805611380</v>
      </c>
      <c r="N13" s="175"/>
      <c r="O13" s="175">
        <v>-159897363412</v>
      </c>
      <c r="P13" s="175"/>
      <c r="Q13" s="175">
        <f t="shared" si="1"/>
        <v>10908247968</v>
      </c>
      <c r="R13" s="65"/>
      <c r="S13" s="103"/>
    </row>
    <row r="14" spans="1:19" ht="57.75" customHeight="1" x14ac:dyDescent="0.85">
      <c r="A14" s="101" t="s">
        <v>15</v>
      </c>
      <c r="B14" s="102"/>
      <c r="C14" s="175">
        <v>14000000</v>
      </c>
      <c r="D14" s="175"/>
      <c r="E14" s="175">
        <v>378029798503</v>
      </c>
      <c r="F14" s="175"/>
      <c r="G14" s="175">
        <v>-161220559183</v>
      </c>
      <c r="H14" s="175"/>
      <c r="I14" s="175">
        <f t="shared" si="0"/>
        <v>216809239320</v>
      </c>
      <c r="J14" s="175"/>
      <c r="K14" s="175">
        <v>450845863</v>
      </c>
      <c r="L14" s="175"/>
      <c r="M14" s="175">
        <v>7740476535168</v>
      </c>
      <c r="N14" s="175"/>
      <c r="O14" s="175">
        <v>-4809196277703</v>
      </c>
      <c r="P14" s="175"/>
      <c r="Q14" s="175">
        <f t="shared" si="1"/>
        <v>2931280257465</v>
      </c>
      <c r="R14" s="65"/>
      <c r="S14" s="103"/>
    </row>
    <row r="15" spans="1:19" ht="57.75" customHeight="1" x14ac:dyDescent="0.85">
      <c r="A15" s="101" t="s">
        <v>17</v>
      </c>
      <c r="B15" s="102"/>
      <c r="C15" s="175">
        <v>55077397</v>
      </c>
      <c r="D15" s="175"/>
      <c r="E15" s="175">
        <v>517196219013</v>
      </c>
      <c r="F15" s="175"/>
      <c r="G15" s="175">
        <v>-243537954858</v>
      </c>
      <c r="H15" s="175"/>
      <c r="I15" s="175">
        <f t="shared" si="0"/>
        <v>273658264155</v>
      </c>
      <c r="J15" s="175"/>
      <c r="K15" s="175">
        <v>4510577397</v>
      </c>
      <c r="L15" s="175"/>
      <c r="M15" s="175">
        <v>20878717795638</v>
      </c>
      <c r="N15" s="175"/>
      <c r="O15" s="175">
        <v>-19894673590816</v>
      </c>
      <c r="P15" s="175"/>
      <c r="Q15" s="175">
        <f t="shared" si="1"/>
        <v>984044204822</v>
      </c>
      <c r="R15" s="65"/>
      <c r="S15" s="103"/>
    </row>
    <row r="16" spans="1:19" ht="57.75" customHeight="1" x14ac:dyDescent="0.85">
      <c r="A16" s="101" t="s">
        <v>21</v>
      </c>
      <c r="B16" s="102"/>
      <c r="C16" s="175">
        <v>187017674</v>
      </c>
      <c r="D16" s="175"/>
      <c r="E16" s="175">
        <v>1632586679375</v>
      </c>
      <c r="F16" s="175"/>
      <c r="G16" s="175">
        <v>-542772855255</v>
      </c>
      <c r="H16" s="175"/>
      <c r="I16" s="175">
        <f t="shared" si="0"/>
        <v>1089813824120</v>
      </c>
      <c r="J16" s="175"/>
      <c r="K16" s="175">
        <v>546985703</v>
      </c>
      <c r="L16" s="175"/>
      <c r="M16" s="175">
        <v>3673898867957</v>
      </c>
      <c r="N16" s="175"/>
      <c r="O16" s="175">
        <v>-1568202700360</v>
      </c>
      <c r="P16" s="175"/>
      <c r="Q16" s="175">
        <f t="shared" si="1"/>
        <v>2105696167597</v>
      </c>
      <c r="R16" s="65"/>
      <c r="S16" s="103"/>
    </row>
    <row r="17" spans="1:26" ht="57.75" customHeight="1" x14ac:dyDescent="0.85">
      <c r="A17" s="101" t="s">
        <v>13</v>
      </c>
      <c r="B17" s="102"/>
      <c r="C17" s="175">
        <v>400000</v>
      </c>
      <c r="D17" s="175"/>
      <c r="E17" s="175">
        <v>24486776101</v>
      </c>
      <c r="F17" s="175"/>
      <c r="G17" s="175">
        <v>-23681591354</v>
      </c>
      <c r="H17" s="175"/>
      <c r="I17" s="175">
        <f t="shared" si="0"/>
        <v>805184747</v>
      </c>
      <c r="J17" s="175"/>
      <c r="K17" s="175">
        <v>1213052</v>
      </c>
      <c r="L17" s="175"/>
      <c r="M17" s="175">
        <v>72988379952</v>
      </c>
      <c r="N17" s="175"/>
      <c r="O17" s="175">
        <v>-71927462811</v>
      </c>
      <c r="P17" s="175"/>
      <c r="Q17" s="175">
        <f t="shared" si="1"/>
        <v>1060917141</v>
      </c>
      <c r="R17" s="65"/>
      <c r="S17" s="103"/>
    </row>
    <row r="18" spans="1:26" ht="57.75" customHeight="1" x14ac:dyDescent="0.85">
      <c r="A18" s="101" t="s">
        <v>12</v>
      </c>
      <c r="B18" s="102"/>
      <c r="C18" s="175">
        <v>32100000</v>
      </c>
      <c r="D18" s="175"/>
      <c r="E18" s="175">
        <v>82366853761</v>
      </c>
      <c r="F18" s="175"/>
      <c r="G18" s="175">
        <v>-71636635177</v>
      </c>
      <c r="H18" s="175"/>
      <c r="I18" s="175">
        <f t="shared" si="0"/>
        <v>10730218584</v>
      </c>
      <c r="J18" s="175"/>
      <c r="K18" s="175">
        <v>38375542</v>
      </c>
      <c r="L18" s="175"/>
      <c r="M18" s="175">
        <v>96688575257</v>
      </c>
      <c r="N18" s="175"/>
      <c r="O18" s="175">
        <v>-85464599821</v>
      </c>
      <c r="P18" s="175"/>
      <c r="Q18" s="175">
        <f t="shared" si="1"/>
        <v>11223975436</v>
      </c>
      <c r="R18" s="65"/>
      <c r="S18" s="103"/>
    </row>
    <row r="19" spans="1:26" ht="57.75" customHeight="1" x14ac:dyDescent="0.85">
      <c r="A19" s="101" t="s">
        <v>137</v>
      </c>
      <c r="B19" s="102"/>
      <c r="C19" s="175">
        <v>447877428</v>
      </c>
      <c r="D19" s="175"/>
      <c r="E19" s="175">
        <v>1940460985121</v>
      </c>
      <c r="F19" s="175"/>
      <c r="G19" s="175">
        <v>-1339726985912</v>
      </c>
      <c r="H19" s="175"/>
      <c r="I19" s="175">
        <f t="shared" si="0"/>
        <v>600733999209</v>
      </c>
      <c r="J19" s="175"/>
      <c r="K19" s="175">
        <v>1303193288</v>
      </c>
      <c r="L19" s="175"/>
      <c r="M19" s="175">
        <v>4847903567246</v>
      </c>
      <c r="N19" s="175"/>
      <c r="O19" s="175">
        <v>-3840886465457</v>
      </c>
      <c r="P19" s="175"/>
      <c r="Q19" s="175">
        <f t="shared" si="1"/>
        <v>1007017101789</v>
      </c>
      <c r="R19" s="65"/>
      <c r="S19" s="103"/>
    </row>
    <row r="20" spans="1:26" ht="57.75" customHeight="1" x14ac:dyDescent="0.85">
      <c r="A20" s="101" t="s">
        <v>23</v>
      </c>
      <c r="B20" s="102"/>
      <c r="C20" s="175">
        <v>0</v>
      </c>
      <c r="D20" s="175"/>
      <c r="E20" s="175">
        <v>0</v>
      </c>
      <c r="F20" s="175"/>
      <c r="G20" s="175">
        <v>0</v>
      </c>
      <c r="H20" s="175"/>
      <c r="I20" s="175">
        <v>0</v>
      </c>
      <c r="J20" s="175"/>
      <c r="K20" s="175">
        <v>165483407</v>
      </c>
      <c r="L20" s="175"/>
      <c r="M20" s="175">
        <v>368697028569</v>
      </c>
      <c r="N20" s="175"/>
      <c r="O20" s="175">
        <v>-289276255854</v>
      </c>
      <c r="P20" s="175"/>
      <c r="Q20" s="175">
        <f t="shared" si="1"/>
        <v>79420772715</v>
      </c>
      <c r="R20" s="65"/>
      <c r="S20" s="103"/>
    </row>
    <row r="21" spans="1:26" ht="57.75" customHeight="1" x14ac:dyDescent="0.85">
      <c r="A21" s="101" t="s">
        <v>22</v>
      </c>
      <c r="B21" s="102"/>
      <c r="C21" s="175">
        <v>0</v>
      </c>
      <c r="D21" s="175"/>
      <c r="E21" s="175">
        <v>0</v>
      </c>
      <c r="F21" s="175"/>
      <c r="G21" s="175">
        <v>0</v>
      </c>
      <c r="H21" s="175"/>
      <c r="I21" s="175">
        <v>0</v>
      </c>
      <c r="J21" s="175"/>
      <c r="K21" s="175">
        <v>16651591</v>
      </c>
      <c r="L21" s="175"/>
      <c r="M21" s="175">
        <v>53444732430</v>
      </c>
      <c r="N21" s="175"/>
      <c r="O21" s="175">
        <v>-57547178910</v>
      </c>
      <c r="P21" s="175"/>
      <c r="Q21" s="175">
        <f t="shared" si="1"/>
        <v>-4102446480</v>
      </c>
      <c r="R21" s="65"/>
      <c r="S21" s="103"/>
    </row>
    <row r="22" spans="1:26" ht="57.75" customHeight="1" x14ac:dyDescent="0.85">
      <c r="A22" s="101" t="s">
        <v>16</v>
      </c>
      <c r="B22" s="102"/>
      <c r="C22" s="175">
        <v>0</v>
      </c>
      <c r="D22" s="175"/>
      <c r="E22" s="175">
        <v>0</v>
      </c>
      <c r="F22" s="175"/>
      <c r="G22" s="175">
        <v>0</v>
      </c>
      <c r="H22" s="175"/>
      <c r="I22" s="175">
        <v>0</v>
      </c>
      <c r="J22" s="175"/>
      <c r="K22" s="175">
        <v>4060530</v>
      </c>
      <c r="L22" s="175"/>
      <c r="M22" s="175">
        <v>44951637655</v>
      </c>
      <c r="N22" s="175"/>
      <c r="O22" s="175">
        <v>-35752467245</v>
      </c>
      <c r="P22" s="175"/>
      <c r="Q22" s="175">
        <f t="shared" si="1"/>
        <v>9199170410</v>
      </c>
      <c r="R22" s="65"/>
      <c r="S22" s="103"/>
    </row>
    <row r="23" spans="1:26" ht="57.75" customHeight="1" x14ac:dyDescent="0.85">
      <c r="A23" s="101" t="s">
        <v>26</v>
      </c>
      <c r="B23" s="102"/>
      <c r="C23" s="175">
        <v>0</v>
      </c>
      <c r="D23" s="175"/>
      <c r="E23" s="175">
        <v>0</v>
      </c>
      <c r="F23" s="175"/>
      <c r="G23" s="175">
        <v>0</v>
      </c>
      <c r="H23" s="175"/>
      <c r="I23" s="175">
        <v>0</v>
      </c>
      <c r="J23" s="175"/>
      <c r="K23" s="175">
        <v>85081</v>
      </c>
      <c r="L23" s="175"/>
      <c r="M23" s="175">
        <v>167907271</v>
      </c>
      <c r="N23" s="175"/>
      <c r="O23" s="175">
        <v>-163783796</v>
      </c>
      <c r="P23" s="175"/>
      <c r="Q23" s="175">
        <f t="shared" si="1"/>
        <v>4123475</v>
      </c>
      <c r="R23" s="65"/>
      <c r="S23" s="103"/>
    </row>
    <row r="24" spans="1:26" ht="57.75" customHeight="1" x14ac:dyDescent="0.85">
      <c r="A24" s="101" t="s">
        <v>27</v>
      </c>
      <c r="B24" s="102"/>
      <c r="C24" s="175">
        <v>0</v>
      </c>
      <c r="D24" s="175"/>
      <c r="E24" s="175">
        <v>0</v>
      </c>
      <c r="F24" s="175"/>
      <c r="G24" s="175">
        <v>0</v>
      </c>
      <c r="H24" s="175"/>
      <c r="I24" s="175">
        <v>0</v>
      </c>
      <c r="J24" s="175"/>
      <c r="K24" s="175">
        <v>1794900642</v>
      </c>
      <c r="L24" s="175"/>
      <c r="M24" s="175">
        <v>5510344970940</v>
      </c>
      <c r="N24" s="175"/>
      <c r="O24" s="175">
        <v>-4046502616413</v>
      </c>
      <c r="P24" s="175"/>
      <c r="Q24" s="175">
        <f t="shared" si="1"/>
        <v>1463842354527</v>
      </c>
      <c r="R24" s="65"/>
      <c r="S24" s="103"/>
    </row>
    <row r="25" spans="1:26" ht="57.75" customHeight="1" x14ac:dyDescent="0.85">
      <c r="A25" s="101" t="s">
        <v>192</v>
      </c>
      <c r="B25" s="102"/>
      <c r="C25" s="175">
        <v>0</v>
      </c>
      <c r="D25" s="175"/>
      <c r="E25" s="175">
        <v>0</v>
      </c>
      <c r="F25" s="175"/>
      <c r="G25" s="175">
        <v>0</v>
      </c>
      <c r="H25" s="175"/>
      <c r="I25" s="175">
        <v>0</v>
      </c>
      <c r="J25" s="175"/>
      <c r="K25" s="175">
        <v>44314958</v>
      </c>
      <c r="L25" s="175"/>
      <c r="M25" s="175">
        <v>44802422538</v>
      </c>
      <c r="N25" s="175"/>
      <c r="O25" s="175">
        <v>-44802422538</v>
      </c>
      <c r="P25" s="175"/>
      <c r="Q25" s="175">
        <f t="shared" si="1"/>
        <v>0</v>
      </c>
      <c r="R25" s="65"/>
      <c r="S25" s="103"/>
    </row>
    <row r="26" spans="1:26" ht="57.75" customHeight="1" thickBot="1" x14ac:dyDescent="0.9">
      <c r="A26" s="101" t="s">
        <v>138</v>
      </c>
      <c r="B26" s="102"/>
      <c r="C26" s="175">
        <v>0</v>
      </c>
      <c r="D26" s="175"/>
      <c r="E26" s="175">
        <v>0</v>
      </c>
      <c r="F26" s="175"/>
      <c r="G26" s="175">
        <v>0</v>
      </c>
      <c r="H26" s="175"/>
      <c r="I26" s="175">
        <v>0</v>
      </c>
      <c r="J26" s="175"/>
      <c r="K26" s="175">
        <v>736668414</v>
      </c>
      <c r="L26" s="175"/>
      <c r="M26" s="175">
        <v>1197743862219</v>
      </c>
      <c r="N26" s="175"/>
      <c r="O26" s="175">
        <v>-888588817462</v>
      </c>
      <c r="P26" s="175"/>
      <c r="Q26" s="175">
        <f t="shared" si="1"/>
        <v>309155044757</v>
      </c>
      <c r="R26" s="65"/>
      <c r="S26" s="103"/>
    </row>
    <row r="27" spans="1:26" ht="57.75" customHeight="1" thickBot="1" x14ac:dyDescent="0.9">
      <c r="A27" s="104"/>
      <c r="B27" s="102"/>
      <c r="C27" s="176"/>
      <c r="D27" s="176"/>
      <c r="E27" s="177">
        <f>SUM(E9:E26)</f>
        <v>5725432068446</v>
      </c>
      <c r="F27" s="176"/>
      <c r="G27" s="177">
        <f>SUM(G9:G26)</f>
        <v>-3290126607277</v>
      </c>
      <c r="H27" s="176"/>
      <c r="I27" s="177">
        <f>SUM(I9:I26)</f>
        <v>2435305461169</v>
      </c>
      <c r="J27" s="176"/>
      <c r="K27" s="176"/>
      <c r="L27" s="176"/>
      <c r="M27" s="177">
        <f>SUM(M9:M26)</f>
        <v>49661569375647</v>
      </c>
      <c r="N27" s="176"/>
      <c r="O27" s="177">
        <f>SUM(O9:O26)</f>
        <v>-40028142704710</v>
      </c>
      <c r="P27" s="176"/>
      <c r="Q27" s="177">
        <f>SUM(Q9:Q26)</f>
        <v>9633426670937</v>
      </c>
      <c r="R27" s="65"/>
      <c r="S27" s="103"/>
      <c r="U27" s="83"/>
      <c r="V27" s="83"/>
      <c r="W27" s="67"/>
      <c r="X27" s="67"/>
      <c r="Y27" s="67"/>
      <c r="Z27" s="67"/>
    </row>
    <row r="28" spans="1:26" ht="37.5" thickTop="1" x14ac:dyDescent="0.4">
      <c r="U28" s="67"/>
      <c r="V28" s="67"/>
      <c r="W28" s="67"/>
      <c r="X28" s="67"/>
      <c r="Y28" s="67"/>
      <c r="Z28" s="67"/>
    </row>
    <row r="29" spans="1:26" ht="53.25" customHeight="1" x14ac:dyDescent="0.4">
      <c r="A29" s="222" t="s">
        <v>135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S29" s="103"/>
      <c r="U29" s="67"/>
      <c r="V29" s="67"/>
      <c r="W29" s="67"/>
      <c r="X29" s="67"/>
      <c r="Y29" s="67"/>
      <c r="Z29" s="67"/>
    </row>
    <row r="30" spans="1:26" ht="53.25" customHeight="1" x14ac:dyDescent="0.4">
      <c r="A30" s="100"/>
      <c r="B30" s="100"/>
      <c r="C30" s="223" t="s">
        <v>102</v>
      </c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S30" s="103"/>
      <c r="U30" s="67"/>
      <c r="V30" s="67"/>
      <c r="W30" s="67"/>
      <c r="X30" s="67"/>
      <c r="Y30" s="67"/>
      <c r="Z30" s="67"/>
    </row>
    <row r="31" spans="1:26" ht="53.25" customHeight="1" thickBot="1" x14ac:dyDescent="1.05">
      <c r="A31" s="220" t="s">
        <v>59</v>
      </c>
      <c r="B31" s="72"/>
      <c r="C31" s="221" t="str">
        <f>C7</f>
        <v>طی مهر ماه</v>
      </c>
      <c r="D31" s="221"/>
      <c r="E31" s="221"/>
      <c r="F31" s="221"/>
      <c r="G31" s="221"/>
      <c r="H31" s="221"/>
      <c r="I31" s="221"/>
      <c r="J31" s="72"/>
      <c r="K31" s="221" t="str">
        <f>K7</f>
        <v>از ابتدای سال مالی تا پایان مهر ماه</v>
      </c>
      <c r="L31" s="221"/>
      <c r="M31" s="221"/>
      <c r="N31" s="221"/>
      <c r="O31" s="221"/>
      <c r="P31" s="221"/>
      <c r="Q31" s="221"/>
      <c r="S31" s="103"/>
      <c r="U31" s="67"/>
      <c r="V31" s="67"/>
      <c r="W31" s="67"/>
      <c r="X31" s="67"/>
      <c r="Y31" s="67"/>
      <c r="Z31" s="67"/>
    </row>
    <row r="32" spans="1:26" ht="53.25" customHeight="1" thickBot="1" x14ac:dyDescent="1.05">
      <c r="A32" s="221"/>
      <c r="B32" s="72"/>
      <c r="C32" s="74" t="s">
        <v>6</v>
      </c>
      <c r="D32" s="72"/>
      <c r="E32" s="74" t="s">
        <v>91</v>
      </c>
      <c r="F32" s="72"/>
      <c r="G32" s="74" t="s">
        <v>92</v>
      </c>
      <c r="H32" s="72"/>
      <c r="I32" s="74" t="s">
        <v>93</v>
      </c>
      <c r="J32" s="72"/>
      <c r="K32" s="74" t="s">
        <v>6</v>
      </c>
      <c r="L32" s="72"/>
      <c r="M32" s="74" t="s">
        <v>91</v>
      </c>
      <c r="N32" s="72"/>
      <c r="O32" s="74" t="s">
        <v>92</v>
      </c>
      <c r="P32" s="72"/>
      <c r="Q32" s="74" t="s">
        <v>93</v>
      </c>
      <c r="S32" s="103"/>
      <c r="U32" s="67"/>
      <c r="V32" s="67"/>
      <c r="W32" s="67"/>
      <c r="X32" s="67"/>
      <c r="Y32" s="67"/>
      <c r="Z32" s="67"/>
    </row>
    <row r="33" spans="1:26" ht="53.25" customHeight="1" x14ac:dyDescent="0.95">
      <c r="A33" s="84" t="s">
        <v>40</v>
      </c>
      <c r="B33" s="85"/>
      <c r="C33" s="175">
        <v>52670000</v>
      </c>
      <c r="D33" s="167"/>
      <c r="E33" s="175">
        <v>1906947393793</v>
      </c>
      <c r="F33" s="167"/>
      <c r="G33" s="175">
        <v>-1879998383938</v>
      </c>
      <c r="H33" s="167"/>
      <c r="I33" s="175">
        <f>E33+G33</f>
        <v>26949009855</v>
      </c>
      <c r="J33" s="167"/>
      <c r="K33" s="175">
        <v>314307454</v>
      </c>
      <c r="L33" s="167"/>
      <c r="M33" s="175">
        <v>10464340037869</v>
      </c>
      <c r="N33" s="167"/>
      <c r="O33" s="175">
        <v>-10093918972696</v>
      </c>
      <c r="P33" s="167"/>
      <c r="Q33" s="175">
        <f>M33+O33</f>
        <v>370421065173</v>
      </c>
      <c r="S33" s="103"/>
      <c r="U33" s="67"/>
      <c r="V33" s="67"/>
      <c r="W33" s="67"/>
      <c r="X33" s="67"/>
      <c r="Y33" s="67"/>
      <c r="Z33" s="67"/>
    </row>
    <row r="34" spans="1:26" ht="53.25" customHeight="1" x14ac:dyDescent="0.95">
      <c r="A34" s="84" t="s">
        <v>184</v>
      </c>
      <c r="B34" s="85"/>
      <c r="C34" s="175">
        <v>52500000</v>
      </c>
      <c r="D34" s="167"/>
      <c r="E34" s="175">
        <v>1578609555313</v>
      </c>
      <c r="F34" s="167"/>
      <c r="G34" s="175">
        <v>-1504937628858</v>
      </c>
      <c r="H34" s="167"/>
      <c r="I34" s="175">
        <f t="shared" ref="I34:I36" si="2">E34+G34</f>
        <v>73671926455</v>
      </c>
      <c r="J34" s="167"/>
      <c r="K34" s="175">
        <v>52500000</v>
      </c>
      <c r="L34" s="167"/>
      <c r="M34" s="175">
        <v>1578609555313</v>
      </c>
      <c r="N34" s="167"/>
      <c r="O34" s="175">
        <v>-1504937628858</v>
      </c>
      <c r="P34" s="167"/>
      <c r="Q34" s="175">
        <f t="shared" ref="Q34:Q45" si="3">M34+O34</f>
        <v>73671926455</v>
      </c>
      <c r="S34" s="103"/>
      <c r="U34" s="67"/>
      <c r="V34" s="67"/>
      <c r="W34" s="67"/>
      <c r="X34" s="67"/>
      <c r="Y34" s="67"/>
      <c r="Z34" s="67"/>
    </row>
    <row r="35" spans="1:26" ht="53.25" customHeight="1" x14ac:dyDescent="0.95">
      <c r="A35" s="84" t="s">
        <v>174</v>
      </c>
      <c r="B35" s="85"/>
      <c r="C35" s="175">
        <v>2000000</v>
      </c>
      <c r="D35" s="167"/>
      <c r="E35" s="175">
        <v>22039869810</v>
      </c>
      <c r="F35" s="167"/>
      <c r="G35" s="175">
        <v>-19999244810</v>
      </c>
      <c r="H35" s="167"/>
      <c r="I35" s="175">
        <f t="shared" si="2"/>
        <v>2040625000</v>
      </c>
      <c r="J35" s="167"/>
      <c r="K35" s="175">
        <v>2000000</v>
      </c>
      <c r="L35" s="167"/>
      <c r="M35" s="175">
        <v>22039869810</v>
      </c>
      <c r="N35" s="167"/>
      <c r="O35" s="175">
        <v>-19999244810</v>
      </c>
      <c r="P35" s="167"/>
      <c r="Q35" s="175">
        <f t="shared" si="3"/>
        <v>2040625000</v>
      </c>
      <c r="S35" s="103"/>
      <c r="U35" s="67"/>
      <c r="V35" s="67"/>
      <c r="W35" s="67"/>
      <c r="X35" s="67"/>
      <c r="Y35" s="67"/>
      <c r="Z35" s="67"/>
    </row>
    <row r="36" spans="1:26" ht="53.25" customHeight="1" x14ac:dyDescent="0.95">
      <c r="A36" s="84" t="s">
        <v>180</v>
      </c>
      <c r="B36" s="85"/>
      <c r="C36" s="175">
        <v>11500000</v>
      </c>
      <c r="D36" s="167"/>
      <c r="E36" s="175">
        <v>120889405588</v>
      </c>
      <c r="F36" s="167"/>
      <c r="G36" s="175">
        <v>-114997811838</v>
      </c>
      <c r="H36" s="167"/>
      <c r="I36" s="175">
        <f t="shared" si="2"/>
        <v>5891593750</v>
      </c>
      <c r="J36" s="167"/>
      <c r="K36" s="175">
        <v>11500000</v>
      </c>
      <c r="L36" s="167"/>
      <c r="M36" s="175">
        <v>120889405588</v>
      </c>
      <c r="N36" s="167"/>
      <c r="O36" s="175">
        <v>-114997811838</v>
      </c>
      <c r="P36" s="167"/>
      <c r="Q36" s="175">
        <f t="shared" si="3"/>
        <v>5891593750</v>
      </c>
      <c r="S36" s="103"/>
      <c r="U36" s="67"/>
      <c r="V36" s="67"/>
      <c r="W36" s="67"/>
      <c r="X36" s="67"/>
      <c r="Y36" s="67"/>
      <c r="Z36" s="67"/>
    </row>
    <row r="37" spans="1:26" ht="53.25" customHeight="1" x14ac:dyDescent="0.95">
      <c r="A37" s="84" t="s">
        <v>41</v>
      </c>
      <c r="B37" s="85"/>
      <c r="C37" s="175">
        <v>0</v>
      </c>
      <c r="D37" s="167"/>
      <c r="E37" s="175">
        <v>0</v>
      </c>
      <c r="F37" s="167"/>
      <c r="G37" s="175">
        <v>0</v>
      </c>
      <c r="H37" s="167"/>
      <c r="I37" s="175">
        <v>0</v>
      </c>
      <c r="J37" s="167"/>
      <c r="K37" s="175">
        <v>44130000</v>
      </c>
      <c r="L37" s="167"/>
      <c r="M37" s="175">
        <v>2623400351171</v>
      </c>
      <c r="N37" s="167"/>
      <c r="O37" s="175">
        <v>-2616223196458</v>
      </c>
      <c r="P37" s="167"/>
      <c r="Q37" s="175">
        <f t="shared" si="3"/>
        <v>7177154713</v>
      </c>
      <c r="S37" s="103"/>
      <c r="U37" s="67"/>
      <c r="V37" s="67"/>
      <c r="W37" s="67"/>
      <c r="X37" s="67"/>
      <c r="Y37" s="67"/>
      <c r="Z37" s="67"/>
    </row>
    <row r="38" spans="1:26" ht="53.25" customHeight="1" x14ac:dyDescent="0.95">
      <c r="A38" s="84" t="s">
        <v>39</v>
      </c>
      <c r="B38" s="85"/>
      <c r="C38" s="175">
        <v>0</v>
      </c>
      <c r="D38" s="167"/>
      <c r="E38" s="175">
        <v>0</v>
      </c>
      <c r="F38" s="167"/>
      <c r="G38" s="175">
        <v>0</v>
      </c>
      <c r="H38" s="167"/>
      <c r="I38" s="175">
        <v>0</v>
      </c>
      <c r="J38" s="167"/>
      <c r="K38" s="175">
        <v>400000</v>
      </c>
      <c r="L38" s="167"/>
      <c r="M38" s="175">
        <v>15518275525</v>
      </c>
      <c r="N38" s="167"/>
      <c r="O38" s="175">
        <v>-15474165210</v>
      </c>
      <c r="P38" s="167"/>
      <c r="Q38" s="175">
        <f t="shared" si="3"/>
        <v>44110315</v>
      </c>
      <c r="S38" s="103"/>
      <c r="U38" s="67"/>
      <c r="V38" s="67"/>
      <c r="W38" s="67"/>
      <c r="X38" s="67"/>
      <c r="Y38" s="67"/>
      <c r="Z38" s="67"/>
    </row>
    <row r="39" spans="1:26" ht="53.25" customHeight="1" x14ac:dyDescent="0.95">
      <c r="A39" s="84" t="s">
        <v>152</v>
      </c>
      <c r="B39" s="85"/>
      <c r="C39" s="175">
        <v>0</v>
      </c>
      <c r="D39" s="167"/>
      <c r="E39" s="175">
        <v>0</v>
      </c>
      <c r="F39" s="167"/>
      <c r="G39" s="175">
        <v>0</v>
      </c>
      <c r="H39" s="167"/>
      <c r="I39" s="175">
        <v>0</v>
      </c>
      <c r="J39" s="167"/>
      <c r="K39" s="175">
        <v>6755000</v>
      </c>
      <c r="L39" s="167"/>
      <c r="M39" s="175">
        <v>200940166010</v>
      </c>
      <c r="N39" s="167"/>
      <c r="O39" s="175">
        <v>-199920576840</v>
      </c>
      <c r="P39" s="167"/>
      <c r="Q39" s="175">
        <f t="shared" si="3"/>
        <v>1019589170</v>
      </c>
      <c r="S39" s="103"/>
      <c r="U39" s="67"/>
      <c r="V39" s="67"/>
      <c r="W39" s="67"/>
      <c r="X39" s="67"/>
      <c r="Y39" s="67"/>
      <c r="Z39" s="67"/>
    </row>
    <row r="40" spans="1:26" ht="53.25" customHeight="1" x14ac:dyDescent="0.95">
      <c r="A40" s="84" t="s">
        <v>141</v>
      </c>
      <c r="B40" s="85"/>
      <c r="C40" s="175">
        <v>0</v>
      </c>
      <c r="D40" s="167"/>
      <c r="E40" s="175">
        <v>0</v>
      </c>
      <c r="F40" s="167"/>
      <c r="G40" s="175">
        <v>0</v>
      </c>
      <c r="H40" s="167"/>
      <c r="I40" s="175">
        <v>0</v>
      </c>
      <c r="J40" s="167"/>
      <c r="K40" s="175">
        <v>22770000</v>
      </c>
      <c r="L40" s="167"/>
      <c r="M40" s="175">
        <v>605562776360</v>
      </c>
      <c r="N40" s="167"/>
      <c r="O40" s="175">
        <v>-587303619470</v>
      </c>
      <c r="P40" s="167"/>
      <c r="Q40" s="175">
        <f t="shared" si="3"/>
        <v>18259156890</v>
      </c>
      <c r="S40" s="103"/>
      <c r="U40" s="67"/>
      <c r="V40" s="67"/>
      <c r="W40" s="67"/>
      <c r="X40" s="67"/>
      <c r="Y40" s="67"/>
      <c r="Z40" s="67"/>
    </row>
    <row r="41" spans="1:26" ht="53.25" customHeight="1" x14ac:dyDescent="0.95">
      <c r="A41" s="84" t="s">
        <v>193</v>
      </c>
      <c r="B41" s="85"/>
      <c r="C41" s="175">
        <v>0</v>
      </c>
      <c r="D41" s="167"/>
      <c r="E41" s="175">
        <v>0</v>
      </c>
      <c r="F41" s="167"/>
      <c r="G41" s="175">
        <v>0</v>
      </c>
      <c r="H41" s="167"/>
      <c r="I41" s="175">
        <v>0</v>
      </c>
      <c r="J41" s="167"/>
      <c r="K41" s="175">
        <v>1000000</v>
      </c>
      <c r="L41" s="167"/>
      <c r="M41" s="175">
        <v>10047293695</v>
      </c>
      <c r="N41" s="167"/>
      <c r="O41" s="175">
        <v>-10097399382</v>
      </c>
      <c r="P41" s="167"/>
      <c r="Q41" s="175">
        <f t="shared" si="3"/>
        <v>-50105687</v>
      </c>
      <c r="S41" s="103"/>
      <c r="U41" s="67"/>
      <c r="V41" s="67"/>
      <c r="W41" s="67"/>
      <c r="X41" s="67"/>
      <c r="Y41" s="67"/>
      <c r="Z41" s="67"/>
    </row>
    <row r="42" spans="1:26" ht="53.25" customHeight="1" x14ac:dyDescent="0.95">
      <c r="A42" s="84" t="s">
        <v>172</v>
      </c>
      <c r="B42" s="85"/>
      <c r="C42" s="175">
        <v>0</v>
      </c>
      <c r="D42" s="167"/>
      <c r="E42" s="175">
        <v>0</v>
      </c>
      <c r="F42" s="167"/>
      <c r="G42" s="175">
        <v>0</v>
      </c>
      <c r="H42" s="167"/>
      <c r="I42" s="175">
        <v>0</v>
      </c>
      <c r="J42" s="167"/>
      <c r="K42" s="175">
        <v>4285000</v>
      </c>
      <c r="L42" s="167"/>
      <c r="M42" s="175">
        <v>338912749855</v>
      </c>
      <c r="N42" s="167"/>
      <c r="O42" s="175">
        <v>-299841281640</v>
      </c>
      <c r="P42" s="167"/>
      <c r="Q42" s="175">
        <f t="shared" si="3"/>
        <v>39071468215</v>
      </c>
      <c r="S42" s="103"/>
      <c r="U42" s="67"/>
      <c r="V42" s="67"/>
      <c r="W42" s="67"/>
      <c r="X42" s="67"/>
      <c r="Y42" s="67"/>
      <c r="Z42" s="67"/>
    </row>
    <row r="43" spans="1:26" ht="53.25" customHeight="1" x14ac:dyDescent="0.95">
      <c r="A43" s="84" t="s">
        <v>42</v>
      </c>
      <c r="B43" s="85"/>
      <c r="C43" s="175">
        <v>0</v>
      </c>
      <c r="D43" s="167"/>
      <c r="E43" s="175">
        <v>0</v>
      </c>
      <c r="F43" s="167"/>
      <c r="G43" s="175">
        <v>0</v>
      </c>
      <c r="H43" s="167"/>
      <c r="I43" s="175">
        <v>0</v>
      </c>
      <c r="J43" s="167"/>
      <c r="K43" s="175">
        <v>73300000</v>
      </c>
      <c r="L43" s="167"/>
      <c r="M43" s="175">
        <v>1263557291521</v>
      </c>
      <c r="N43" s="167"/>
      <c r="O43" s="175">
        <v>-1192681340785</v>
      </c>
      <c r="P43" s="167"/>
      <c r="Q43" s="175">
        <f t="shared" si="3"/>
        <v>70875950736</v>
      </c>
      <c r="S43" s="103"/>
      <c r="U43" s="67"/>
      <c r="V43" s="67"/>
      <c r="W43" s="67"/>
      <c r="X43" s="67"/>
      <c r="Y43" s="67"/>
      <c r="Z43" s="67"/>
    </row>
    <row r="44" spans="1:26" ht="53.25" customHeight="1" x14ac:dyDescent="0.95">
      <c r="A44" s="84" t="s">
        <v>175</v>
      </c>
      <c r="B44" s="85"/>
      <c r="C44" s="175">
        <v>0</v>
      </c>
      <c r="D44" s="167"/>
      <c r="E44" s="175">
        <v>0</v>
      </c>
      <c r="F44" s="167"/>
      <c r="G44" s="175">
        <v>0</v>
      </c>
      <c r="H44" s="167"/>
      <c r="I44" s="175">
        <v>0</v>
      </c>
      <c r="J44" s="167"/>
      <c r="K44" s="175">
        <v>11500000</v>
      </c>
      <c r="L44" s="167"/>
      <c r="M44" s="175">
        <v>190703152386</v>
      </c>
      <c r="N44" s="167"/>
      <c r="O44" s="175">
        <v>-180258624168</v>
      </c>
      <c r="P44" s="167"/>
      <c r="Q44" s="175">
        <f t="shared" si="3"/>
        <v>10444528218</v>
      </c>
      <c r="S44" s="103"/>
      <c r="U44" s="67"/>
      <c r="V44" s="67"/>
      <c r="W44" s="67"/>
      <c r="X44" s="67"/>
      <c r="Y44" s="67"/>
      <c r="Z44" s="67"/>
    </row>
    <row r="45" spans="1:26" customFormat="1" ht="57.75" customHeight="1" thickBot="1" x14ac:dyDescent="0.25">
      <c r="A45" s="101" t="s">
        <v>150</v>
      </c>
      <c r="C45" s="175">
        <v>0</v>
      </c>
      <c r="D45" s="175"/>
      <c r="E45" s="175">
        <v>0</v>
      </c>
      <c r="F45" s="175"/>
      <c r="G45" s="175">
        <v>0</v>
      </c>
      <c r="H45" s="175"/>
      <c r="I45" s="175">
        <v>0</v>
      </c>
      <c r="J45" s="175"/>
      <c r="K45" s="175">
        <v>2042980</v>
      </c>
      <c r="L45" s="175"/>
      <c r="M45" s="175">
        <v>23166114585</v>
      </c>
      <c r="N45" s="175"/>
      <c r="O45" s="175">
        <v>-19506118059</v>
      </c>
      <c r="P45" s="175"/>
      <c r="Q45" s="175">
        <f t="shared" si="3"/>
        <v>3659996526</v>
      </c>
      <c r="S45" s="103"/>
      <c r="T45" s="103"/>
      <c r="U45" s="67"/>
    </row>
    <row r="46" spans="1:26" ht="53.25" customHeight="1" thickBot="1" x14ac:dyDescent="1">
      <c r="A46" s="84"/>
      <c r="B46" s="85"/>
      <c r="C46" s="170"/>
      <c r="D46" s="170"/>
      <c r="E46" s="169">
        <f>SUM(E33:E45)</f>
        <v>3628486224504</v>
      </c>
      <c r="F46" s="170"/>
      <c r="G46" s="169">
        <f>SUM(G33:G45)</f>
        <v>-3519933069444</v>
      </c>
      <c r="H46" s="170"/>
      <c r="I46" s="169">
        <f>SUM(I33:I45)</f>
        <v>108553155060</v>
      </c>
      <c r="J46" s="170"/>
      <c r="K46" s="170"/>
      <c r="L46" s="170"/>
      <c r="M46" s="169">
        <f>SUM(M33:M45)</f>
        <v>17457687039688</v>
      </c>
      <c r="N46" s="170"/>
      <c r="O46" s="169">
        <f>SUM(O33:O45)</f>
        <v>-16855159980214</v>
      </c>
      <c r="P46" s="170"/>
      <c r="Q46" s="169">
        <f>SUM(Q33:Q45)</f>
        <v>602527059474</v>
      </c>
      <c r="S46" s="103"/>
      <c r="U46" s="67"/>
      <c r="V46" s="67"/>
      <c r="W46" s="67"/>
      <c r="X46" s="67"/>
      <c r="Y46" s="67"/>
      <c r="Z46" s="67"/>
    </row>
    <row r="47" spans="1:26" ht="53.25" customHeight="1" thickTop="1" x14ac:dyDescent="0.4">
      <c r="S47" s="103"/>
      <c r="U47" s="67"/>
      <c r="V47" s="67"/>
      <c r="W47" s="67"/>
      <c r="X47" s="67"/>
      <c r="Y47" s="67"/>
      <c r="Z47" s="67"/>
    </row>
    <row r="48" spans="1:26" ht="53.25" customHeight="1" x14ac:dyDescent="0.4">
      <c r="A48" s="222" t="s">
        <v>155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S48" s="103"/>
    </row>
    <row r="49" spans="1:21" ht="53.25" customHeight="1" x14ac:dyDescent="0.4">
      <c r="A49" s="100"/>
      <c r="B49" s="100"/>
      <c r="C49" s="223" t="s">
        <v>102</v>
      </c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S49" s="103"/>
    </row>
    <row r="50" spans="1:21" ht="53.25" customHeight="1" thickBot="1" x14ac:dyDescent="1.05">
      <c r="A50" s="220" t="s">
        <v>59</v>
      </c>
      <c r="B50" s="72"/>
      <c r="C50" s="221" t="str">
        <f>C7</f>
        <v>طی مهر ماه</v>
      </c>
      <c r="D50" s="221"/>
      <c r="E50" s="221"/>
      <c r="F50" s="221"/>
      <c r="G50" s="221"/>
      <c r="H50" s="221"/>
      <c r="I50" s="221"/>
      <c r="J50" s="72"/>
      <c r="K50" s="221" t="str">
        <f>K7</f>
        <v>از ابتدای سال مالی تا پایان مهر ماه</v>
      </c>
      <c r="L50" s="221"/>
      <c r="M50" s="221"/>
      <c r="N50" s="221"/>
      <c r="O50" s="221"/>
      <c r="P50" s="221"/>
      <c r="Q50" s="221"/>
      <c r="S50" s="103"/>
    </row>
    <row r="51" spans="1:21" ht="53.25" customHeight="1" thickBot="1" x14ac:dyDescent="1.05">
      <c r="A51" s="221"/>
      <c r="B51" s="72"/>
      <c r="C51" s="74" t="s">
        <v>6</v>
      </c>
      <c r="D51" s="72"/>
      <c r="E51" s="74" t="s">
        <v>91</v>
      </c>
      <c r="F51" s="72"/>
      <c r="G51" s="74" t="s">
        <v>92</v>
      </c>
      <c r="H51" s="72"/>
      <c r="I51" s="74" t="s">
        <v>93</v>
      </c>
      <c r="J51" s="72"/>
      <c r="K51" s="74" t="s">
        <v>6</v>
      </c>
      <c r="L51" s="72"/>
      <c r="M51" s="74" t="s">
        <v>91</v>
      </c>
      <c r="N51" s="72"/>
      <c r="O51" s="74" t="s">
        <v>92</v>
      </c>
      <c r="P51" s="72"/>
      <c r="Q51" s="111" t="s">
        <v>93</v>
      </c>
      <c r="S51" s="103"/>
    </row>
    <row r="52" spans="1:21" ht="53.25" customHeight="1" x14ac:dyDescent="0.95">
      <c r="A52" s="84" t="s">
        <v>54</v>
      </c>
      <c r="B52" s="85"/>
      <c r="C52" s="175">
        <v>0</v>
      </c>
      <c r="D52" s="167"/>
      <c r="E52" s="168">
        <v>0</v>
      </c>
      <c r="F52" s="167"/>
      <c r="G52" s="168">
        <v>0</v>
      </c>
      <c r="H52" s="167"/>
      <c r="I52" s="167">
        <v>0</v>
      </c>
      <c r="J52" s="167"/>
      <c r="K52" s="175">
        <v>100</v>
      </c>
      <c r="L52" s="167"/>
      <c r="M52" s="175">
        <v>99927500</v>
      </c>
      <c r="N52" s="167"/>
      <c r="O52" s="175">
        <v>-99855000</v>
      </c>
      <c r="P52" s="167"/>
      <c r="Q52" s="175">
        <f>M52+O52</f>
        <v>72500</v>
      </c>
      <c r="S52" s="103"/>
    </row>
    <row r="53" spans="1:21" ht="53.25" customHeight="1" thickBot="1" x14ac:dyDescent="1">
      <c r="A53" s="84" t="s">
        <v>50</v>
      </c>
      <c r="B53" s="85"/>
      <c r="C53" s="175">
        <v>1095000</v>
      </c>
      <c r="D53" s="167"/>
      <c r="E53" s="174">
        <v>1094697125000</v>
      </c>
      <c r="F53" s="167"/>
      <c r="G53" s="174">
        <v>-1094904941430</v>
      </c>
      <c r="H53" s="167"/>
      <c r="I53" s="174">
        <f>E53+G53</f>
        <v>-207816430</v>
      </c>
      <c r="J53" s="167"/>
      <c r="K53" s="175">
        <v>2372800</v>
      </c>
      <c r="L53" s="167"/>
      <c r="M53" s="178">
        <v>2372060720000</v>
      </c>
      <c r="N53" s="167"/>
      <c r="O53" s="178">
        <v>-2372267801049</v>
      </c>
      <c r="P53" s="167"/>
      <c r="Q53" s="178">
        <f>M53+O53</f>
        <v>-207081049</v>
      </c>
      <c r="S53" s="103"/>
    </row>
    <row r="54" spans="1:21" ht="53.25" customHeight="1" thickBot="1" x14ac:dyDescent="1">
      <c r="A54" s="84"/>
      <c r="B54" s="85"/>
      <c r="C54" s="170"/>
      <c r="D54" s="170"/>
      <c r="E54" s="179">
        <f>SUM(E52:E53)</f>
        <v>1094697125000</v>
      </c>
      <c r="F54" s="170"/>
      <c r="G54" s="179">
        <f>SUM(G52:G53)</f>
        <v>-1094904941430</v>
      </c>
      <c r="H54" s="170"/>
      <c r="I54" s="179">
        <f>SUM(I52:I53)</f>
        <v>-207816430</v>
      </c>
      <c r="J54" s="170"/>
      <c r="K54" s="170"/>
      <c r="L54" s="170"/>
      <c r="M54" s="179">
        <f>SUM(M52:M53)</f>
        <v>2372160647500</v>
      </c>
      <c r="N54" s="170"/>
      <c r="O54" s="179">
        <f>SUM(O52:O53)</f>
        <v>-2372367656049</v>
      </c>
      <c r="P54" s="170"/>
      <c r="Q54" s="179">
        <f>SUM(Q52:Q53)</f>
        <v>-207008549</v>
      </c>
      <c r="S54" s="103"/>
      <c r="U54" s="83"/>
    </row>
    <row r="55" spans="1:21" ht="37.5" thickTop="1" x14ac:dyDescent="0.4">
      <c r="S55" s="103"/>
      <c r="U55" s="83"/>
    </row>
    <row r="56" spans="1:21" ht="36" hidden="1" customHeight="1" x14ac:dyDescent="0.4">
      <c r="S56" s="103"/>
      <c r="U56" s="83"/>
    </row>
    <row r="57" spans="1:21" hidden="1" x14ac:dyDescent="0.4">
      <c r="I57" s="83">
        <f>I54+I46+I27</f>
        <v>2543650799799</v>
      </c>
      <c r="Q57" s="83">
        <f>Q54+Q46+Q27</f>
        <v>10235746721862</v>
      </c>
      <c r="S57" s="103"/>
    </row>
    <row r="58" spans="1:21" hidden="1" x14ac:dyDescent="0.4">
      <c r="I58" s="83">
        <v>4577707447951</v>
      </c>
      <c r="Q58" s="83">
        <v>6053673740395</v>
      </c>
      <c r="S58" s="103"/>
    </row>
    <row r="59" spans="1:21" hidden="1" x14ac:dyDescent="0.4">
      <c r="I59" s="83">
        <f>I58-I57</f>
        <v>2034056648152</v>
      </c>
      <c r="Q59" s="83">
        <f>Q58-Q57</f>
        <v>-4182072981467</v>
      </c>
      <c r="S59" s="103"/>
    </row>
    <row r="60" spans="1:21" hidden="1" x14ac:dyDescent="0.4">
      <c r="I60" s="83"/>
      <c r="Q60" s="83">
        <f>'درآمد اعمال اختیار'!Q19</f>
        <v>4792533611</v>
      </c>
      <c r="S60" s="103"/>
    </row>
    <row r="61" spans="1:21" hidden="1" x14ac:dyDescent="0.4">
      <c r="Q61" s="83">
        <f>Q60-Q59</f>
        <v>4186865515078</v>
      </c>
      <c r="S61" s="103"/>
    </row>
    <row r="62" spans="1:21" x14ac:dyDescent="0.4">
      <c r="S62" s="103"/>
    </row>
    <row r="63" spans="1:21" x14ac:dyDescent="0.4">
      <c r="S63" s="103"/>
    </row>
    <row r="64" spans="1:21" x14ac:dyDescent="0.4">
      <c r="S64" s="103"/>
    </row>
    <row r="65" spans="7:19" x14ac:dyDescent="0.4">
      <c r="S65" s="103"/>
    </row>
    <row r="66" spans="7:19" x14ac:dyDescent="0.4">
      <c r="G66" s="121"/>
      <c r="S66" s="103"/>
    </row>
    <row r="67" spans="7:19" x14ac:dyDescent="0.4">
      <c r="G67" s="121"/>
      <c r="S67" s="103"/>
    </row>
    <row r="68" spans="7:19" x14ac:dyDescent="0.4">
      <c r="G68" s="121"/>
      <c r="I68" s="103"/>
      <c r="Q68" s="103"/>
      <c r="S68" s="103"/>
    </row>
    <row r="69" spans="7:19" x14ac:dyDescent="0.4">
      <c r="G69" s="121"/>
      <c r="I69" s="103"/>
      <c r="Q69" s="103"/>
      <c r="S69" s="103"/>
    </row>
    <row r="70" spans="7:19" x14ac:dyDescent="0.4">
      <c r="I70" s="103"/>
      <c r="Q70" s="103"/>
    </row>
    <row r="71" spans="7:19" x14ac:dyDescent="0.4">
      <c r="I71" s="103"/>
    </row>
  </sheetData>
  <sortState xmlns:xlrd2="http://schemas.microsoft.com/office/spreadsheetml/2017/richdata2" ref="A33:Q44">
    <sortCondition descending="1" ref="Q33:Q44"/>
  </sortState>
  <mergeCells count="18">
    <mergeCell ref="A7:A8"/>
    <mergeCell ref="A1:Q1"/>
    <mergeCell ref="A2:Q2"/>
    <mergeCell ref="A3:Q3"/>
    <mergeCell ref="A5:Q5"/>
    <mergeCell ref="C6:Q6"/>
    <mergeCell ref="K7:Q7"/>
    <mergeCell ref="C7:I7"/>
    <mergeCell ref="A29:Q29"/>
    <mergeCell ref="A50:A51"/>
    <mergeCell ref="C50:I50"/>
    <mergeCell ref="K50:Q50"/>
    <mergeCell ref="A48:Q48"/>
    <mergeCell ref="C49:Q49"/>
    <mergeCell ref="C31:I31"/>
    <mergeCell ref="A31:A32"/>
    <mergeCell ref="K31:Q31"/>
    <mergeCell ref="C30:Q30"/>
  </mergeCells>
  <pageMargins left="0.39" right="0.39" top="0.39" bottom="0.39" header="0" footer="0"/>
  <pageSetup paperSize="9" scale="2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E3E2-5716-4D00-B3BC-EC41F9FD075A}">
  <dimension ref="A1:Q20"/>
  <sheetViews>
    <sheetView rightToLeft="1" tabSelected="1" view="pageBreakPreview" zoomScale="80" zoomScaleNormal="100" zoomScaleSheetLayoutView="80" workbookViewId="0">
      <selection activeCell="U32" sqref="U32"/>
    </sheetView>
  </sheetViews>
  <sheetFormatPr defaultColWidth="9.140625" defaultRowHeight="15.75" x14ac:dyDescent="0.4"/>
  <cols>
    <col min="1" max="1" width="45.28515625" style="68" bestFit="1" customWidth="1"/>
    <col min="2" max="2" width="1.42578125" style="68" customWidth="1"/>
    <col min="3" max="3" width="18" style="68" customWidth="1"/>
    <col min="4" max="4" width="1.42578125" style="68" customWidth="1"/>
    <col min="5" max="5" width="19.28515625" style="68" customWidth="1"/>
    <col min="6" max="6" width="1.42578125" style="68" customWidth="1"/>
    <col min="7" max="7" width="17.5703125" style="68" customWidth="1"/>
    <col min="8" max="8" width="1.42578125" style="68" customWidth="1"/>
    <col min="9" max="9" width="16.85546875" style="68" customWidth="1"/>
    <col min="10" max="10" width="1.42578125" style="68" customWidth="1"/>
    <col min="11" max="11" width="19.5703125" style="68" customWidth="1"/>
    <col min="12" max="12" width="1.42578125" style="68" customWidth="1"/>
    <col min="13" max="13" width="16.140625" style="68" bestFit="1" customWidth="1"/>
    <col min="14" max="14" width="1.42578125" style="68" customWidth="1"/>
    <col min="15" max="15" width="16.28515625" style="68" customWidth="1"/>
    <col min="16" max="16" width="1.42578125" style="68" customWidth="1"/>
    <col min="17" max="17" width="19.28515625" style="68" customWidth="1"/>
    <col min="18" max="18" width="1.42578125" style="68" customWidth="1"/>
    <col min="19" max="20" width="9.140625" style="68"/>
    <col min="21" max="21" width="29.7109375" style="68" bestFit="1" customWidth="1"/>
    <col min="22" max="22" width="12.85546875" style="68" bestFit="1" customWidth="1"/>
    <col min="23" max="16384" width="9.140625" style="68"/>
  </cols>
  <sheetData>
    <row r="1" spans="1:17" ht="38.25" customHeight="1" x14ac:dyDescent="0.4">
      <c r="A1" s="226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</row>
    <row r="2" spans="1:17" ht="38.25" customHeight="1" x14ac:dyDescent="0.4">
      <c r="A2" s="226" t="s">
        <v>58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</row>
    <row r="3" spans="1:17" ht="38.25" customHeight="1" x14ac:dyDescent="0.4">
      <c r="A3" s="226" t="str">
        <f>درآمد!A3</f>
        <v>دوره یک ماهه منتهی به 30 مهر 1405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</row>
    <row r="4" spans="1:17" ht="38.25" customHeight="1" x14ac:dyDescent="0.4"/>
    <row r="5" spans="1:17" ht="38.25" customHeight="1" x14ac:dyDescent="0.4">
      <c r="A5" s="227" t="s">
        <v>133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</row>
    <row r="6" spans="1:17" ht="38.25" customHeight="1" x14ac:dyDescent="0.4">
      <c r="C6" s="228" t="s">
        <v>102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</row>
    <row r="7" spans="1:17" ht="38.25" customHeight="1" thickBot="1" x14ac:dyDescent="0.45">
      <c r="C7" s="225" t="str">
        <f>'درآمد سرمایه گذاری در سهام'!C7</f>
        <v>طی مهر ماه</v>
      </c>
      <c r="D7" s="225"/>
      <c r="E7" s="225"/>
      <c r="F7" s="225"/>
      <c r="G7" s="225"/>
      <c r="H7" s="225"/>
      <c r="I7" s="225"/>
      <c r="J7" s="225"/>
      <c r="K7" s="225"/>
      <c r="L7" s="106"/>
      <c r="M7" s="225" t="str">
        <f>'درآمد سرمایه گذاری در سهام'!M7</f>
        <v>از ابتدای سال مالی تا پایان مهر ماه</v>
      </c>
      <c r="N7" s="225"/>
      <c r="O7" s="225"/>
      <c r="P7" s="225"/>
      <c r="Q7" s="225"/>
    </row>
    <row r="8" spans="1:17" ht="38.25" customHeight="1" thickBot="1" x14ac:dyDescent="0.65">
      <c r="A8" s="105" t="s">
        <v>94</v>
      </c>
      <c r="B8" s="93"/>
      <c r="C8" s="107" t="s">
        <v>31</v>
      </c>
      <c r="D8" s="93"/>
      <c r="E8" s="107" t="s">
        <v>6</v>
      </c>
      <c r="F8" s="93"/>
      <c r="G8" s="107" t="s">
        <v>95</v>
      </c>
      <c r="H8" s="93"/>
      <c r="I8" s="107" t="s">
        <v>96</v>
      </c>
      <c r="J8" s="93"/>
      <c r="K8" s="107" t="s">
        <v>97</v>
      </c>
      <c r="L8" s="93"/>
      <c r="M8" s="107" t="s">
        <v>95</v>
      </c>
      <c r="N8" s="108"/>
      <c r="O8" s="107" t="s">
        <v>96</v>
      </c>
      <c r="P8" s="108"/>
      <c r="Q8" s="107" t="s">
        <v>97</v>
      </c>
    </row>
    <row r="9" spans="1:17" ht="38.25" customHeight="1" x14ac:dyDescent="0.4">
      <c r="A9" s="94" t="s">
        <v>149</v>
      </c>
      <c r="C9" s="109" t="s">
        <v>140</v>
      </c>
      <c r="D9" s="67"/>
      <c r="E9" s="67">
        <v>7930000</v>
      </c>
      <c r="F9" s="67"/>
      <c r="G9" s="16">
        <v>0</v>
      </c>
      <c r="H9" s="16"/>
      <c r="I9" s="16">
        <v>0</v>
      </c>
      <c r="J9" s="16"/>
      <c r="K9" s="16">
        <v>0</v>
      </c>
      <c r="L9" s="16"/>
      <c r="M9" s="16">
        <v>-18030000</v>
      </c>
      <c r="N9" s="16"/>
      <c r="O9" s="16">
        <v>-180300000</v>
      </c>
      <c r="P9" s="16"/>
      <c r="Q9" s="16">
        <v>2211972504</v>
      </c>
    </row>
    <row r="10" spans="1:17" ht="38.25" customHeight="1" x14ac:dyDescent="0.55000000000000004">
      <c r="A10" s="94" t="s">
        <v>147</v>
      </c>
      <c r="B10" s="95"/>
      <c r="C10" s="109" t="s">
        <v>140</v>
      </c>
      <c r="D10" s="95"/>
      <c r="E10" s="109">
        <v>3997000</v>
      </c>
      <c r="F10" s="95"/>
      <c r="G10" s="180">
        <v>0</v>
      </c>
      <c r="H10" s="181"/>
      <c r="I10" s="180">
        <v>0</v>
      </c>
      <c r="J10" s="181"/>
      <c r="K10" s="180">
        <v>0</v>
      </c>
      <c r="L10" s="181"/>
      <c r="M10" s="180">
        <v>-25109000</v>
      </c>
      <c r="N10" s="180"/>
      <c r="O10" s="180">
        <v>-251090000</v>
      </c>
      <c r="P10" s="180"/>
      <c r="Q10" s="180">
        <v>1771729379</v>
      </c>
    </row>
    <row r="11" spans="1:17" ht="38.25" customHeight="1" x14ac:dyDescent="0.4">
      <c r="A11" s="94" t="s">
        <v>146</v>
      </c>
      <c r="C11" s="109" t="s">
        <v>140</v>
      </c>
      <c r="D11" s="67"/>
      <c r="E11" s="67">
        <v>600000</v>
      </c>
      <c r="F11" s="67"/>
      <c r="G11" s="16">
        <v>0</v>
      </c>
      <c r="H11" s="16"/>
      <c r="I11" s="16">
        <v>0</v>
      </c>
      <c r="J11" s="16"/>
      <c r="K11" s="16">
        <v>0</v>
      </c>
      <c r="L11" s="16"/>
      <c r="M11" s="16">
        <v>-3900000</v>
      </c>
      <c r="N11" s="16"/>
      <c r="O11" s="16">
        <v>-39000000</v>
      </c>
      <c r="P11" s="16"/>
      <c r="Q11" s="16">
        <v>448433437</v>
      </c>
    </row>
    <row r="12" spans="1:17" ht="38.25" customHeight="1" x14ac:dyDescent="0.4">
      <c r="A12" s="94" t="s">
        <v>145</v>
      </c>
      <c r="C12" s="109" t="s">
        <v>171</v>
      </c>
      <c r="D12" s="67"/>
      <c r="E12" s="67">
        <v>60000</v>
      </c>
      <c r="F12" s="67"/>
      <c r="G12" s="16">
        <v>0</v>
      </c>
      <c r="H12" s="16"/>
      <c r="I12" s="16">
        <v>0</v>
      </c>
      <c r="J12" s="16"/>
      <c r="K12" s="16">
        <v>0</v>
      </c>
      <c r="L12" s="16"/>
      <c r="M12" s="16">
        <v>-33750</v>
      </c>
      <c r="N12" s="16"/>
      <c r="O12" s="16">
        <v>-337500</v>
      </c>
      <c r="P12" s="16"/>
      <c r="Q12" s="16">
        <v>191445985</v>
      </c>
    </row>
    <row r="13" spans="1:17" ht="38.25" customHeight="1" x14ac:dyDescent="0.55000000000000004">
      <c r="A13" s="94" t="s">
        <v>142</v>
      </c>
      <c r="B13" s="95"/>
      <c r="C13" s="109" t="s">
        <v>140</v>
      </c>
      <c r="D13" s="95"/>
      <c r="E13" s="109">
        <v>3885000</v>
      </c>
      <c r="F13" s="95"/>
      <c r="G13" s="16">
        <v>0</v>
      </c>
      <c r="H13" s="181"/>
      <c r="I13" s="16">
        <v>0</v>
      </c>
      <c r="J13" s="181"/>
      <c r="K13" s="16">
        <v>0</v>
      </c>
      <c r="L13" s="181"/>
      <c r="M13" s="16">
        <v>0</v>
      </c>
      <c r="N13" s="16"/>
      <c r="O13" s="16">
        <v>0</v>
      </c>
      <c r="P13" s="16"/>
      <c r="Q13" s="16">
        <v>116429954</v>
      </c>
    </row>
    <row r="14" spans="1:17" ht="39.75" customHeight="1" x14ac:dyDescent="0.4">
      <c r="A14" s="94" t="s">
        <v>143</v>
      </c>
      <c r="C14" s="109" t="s">
        <v>171</v>
      </c>
      <c r="D14" s="67"/>
      <c r="E14" s="67">
        <v>40000</v>
      </c>
      <c r="F14" s="67"/>
      <c r="G14" s="16">
        <v>0</v>
      </c>
      <c r="H14" s="16"/>
      <c r="I14" s="16">
        <v>0</v>
      </c>
      <c r="J14" s="16"/>
      <c r="K14" s="16">
        <v>0</v>
      </c>
      <c r="L14" s="16"/>
      <c r="M14" s="16">
        <v>0</v>
      </c>
      <c r="N14" s="16"/>
      <c r="O14" s="16">
        <v>0</v>
      </c>
      <c r="P14" s="16"/>
      <c r="Q14" s="16">
        <v>22976310</v>
      </c>
    </row>
    <row r="15" spans="1:17" ht="39.75" customHeight="1" x14ac:dyDescent="0.4">
      <c r="A15" s="94" t="s">
        <v>148</v>
      </c>
      <c r="C15" s="109" t="s">
        <v>140</v>
      </c>
      <c r="D15" s="67"/>
      <c r="E15" s="67">
        <v>9237000</v>
      </c>
      <c r="F15" s="67"/>
      <c r="G15" s="16">
        <v>0</v>
      </c>
      <c r="H15" s="16"/>
      <c r="I15" s="16">
        <v>0</v>
      </c>
      <c r="J15" s="16"/>
      <c r="K15" s="16">
        <v>0</v>
      </c>
      <c r="L15" s="16"/>
      <c r="M15" s="16">
        <v>-16000</v>
      </c>
      <c r="N15" s="16"/>
      <c r="O15" s="16">
        <v>-160000</v>
      </c>
      <c r="P15" s="16"/>
      <c r="Q15" s="16">
        <v>20555312</v>
      </c>
    </row>
    <row r="16" spans="1:17" ht="39.75" customHeight="1" thickBot="1" x14ac:dyDescent="0.45">
      <c r="A16" s="94" t="s">
        <v>144</v>
      </c>
      <c r="C16" s="109" t="s">
        <v>171</v>
      </c>
      <c r="D16" s="67"/>
      <c r="E16" s="67">
        <v>180000</v>
      </c>
      <c r="F16" s="67"/>
      <c r="G16" s="16">
        <v>0</v>
      </c>
      <c r="H16" s="16"/>
      <c r="I16" s="16">
        <v>0</v>
      </c>
      <c r="J16" s="16"/>
      <c r="K16" s="16">
        <v>0</v>
      </c>
      <c r="L16" s="16"/>
      <c r="M16" s="16">
        <v>0</v>
      </c>
      <c r="N16" s="16"/>
      <c r="O16" s="16">
        <v>0</v>
      </c>
      <c r="P16" s="16"/>
      <c r="Q16" s="16">
        <v>8990730</v>
      </c>
    </row>
    <row r="17" spans="7:17" ht="39" customHeight="1" thickBot="1" x14ac:dyDescent="0.45">
      <c r="G17" s="182">
        <f>SUM(G9:G16)</f>
        <v>0</v>
      </c>
      <c r="H17" s="16"/>
      <c r="I17" s="182">
        <f>SUM(I9:I16)</f>
        <v>0</v>
      </c>
      <c r="J17" s="16"/>
      <c r="K17" s="182">
        <f>SUM(K9:K16)</f>
        <v>0</v>
      </c>
      <c r="L17" s="16"/>
      <c r="M17" s="182">
        <f>SUM(M9:M16)</f>
        <v>-47088750</v>
      </c>
      <c r="N17" s="16"/>
      <c r="O17" s="182">
        <f>SUM(O9:O16)</f>
        <v>-470887500</v>
      </c>
      <c r="P17" s="16"/>
      <c r="Q17" s="182">
        <f>SUM(Q9:Q16)</f>
        <v>4792533611</v>
      </c>
    </row>
    <row r="18" spans="7:17" ht="16.5" thickTop="1" x14ac:dyDescent="0.4"/>
    <row r="19" spans="7:17" ht="22.5" hidden="1" x14ac:dyDescent="0.4">
      <c r="Q19" s="67">
        <v>4792533611</v>
      </c>
    </row>
    <row r="20" spans="7:17" ht="22.5" hidden="1" x14ac:dyDescent="0.4">
      <c r="Q20" s="67">
        <f>Q19-Q17</f>
        <v>0</v>
      </c>
    </row>
  </sheetData>
  <sortState xmlns:xlrd2="http://schemas.microsoft.com/office/spreadsheetml/2017/richdata2" ref="A9:Q16">
    <sortCondition descending="1" ref="Q9:Q16"/>
  </sortState>
  <mergeCells count="7">
    <mergeCell ref="C7:K7"/>
    <mergeCell ref="M7:Q7"/>
    <mergeCell ref="A1:Q1"/>
    <mergeCell ref="A2:Q2"/>
    <mergeCell ref="A3:Q3"/>
    <mergeCell ref="A5:Q5"/>
    <mergeCell ref="C6:Q6"/>
  </mergeCells>
  <pageMargins left="0.7" right="0.7" top="0.75" bottom="0.75" header="0.3" footer="0.3"/>
  <pageSetup scale="45" orientation="portrait" r:id="rId1"/>
  <colBreaks count="1" manualBreakCount="1">
    <brk id="18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کاور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مبالغ تخصیصی اوراق</vt:lpstr>
      <vt:lpstr>درآمد سود سهام</vt:lpstr>
      <vt:lpstr>درآمد سود صندوق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کاور!Print_Area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Mohammad Nikomaram</cp:lastModifiedBy>
  <cp:lastPrinted>2026-08-25T12:54:05Z</cp:lastPrinted>
  <dcterms:created xsi:type="dcterms:W3CDTF">2025-11-22T11:31:26Z</dcterms:created>
  <dcterms:modified xsi:type="dcterms:W3CDTF">2026-10-28T12:13:55Z</dcterms:modified>
</cp:coreProperties>
</file>